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3656" windowHeight="6192" firstSheet="8" activeTab="9"/>
  </bookViews>
  <sheets>
    <sheet name="MET TUB EXISTENTE" sheetId="10" r:id="rId1"/>
    <sheet name="TUB ANULAR O SELLAR" sheetId="11" r:id="rId2"/>
    <sheet name="BASE DE DATOS" sheetId="1" r:id="rId3"/>
    <sheet name="METRADO DE BUZONES" sheetId="2" r:id="rId4"/>
    <sheet name="METRADO DE ZANJA Y TUBERIA" sheetId="3" r:id="rId5"/>
    <sheet name="CUADRO DE CONEX DOMICILIARIAS" sheetId="6" r:id="rId6"/>
    <sheet name="sustento de empalmes" sheetId="12" r:id="rId7"/>
    <sheet name="MET. DE INTERFERENCIAS" sheetId="9" r:id="rId8"/>
    <sheet name="PLANILLA DE METRADOS" sheetId="5" r:id="rId9"/>
    <sheet name="RESUMEN DE METRADO" sheetId="7" r:id="rId10"/>
    <sheet name="NOMBRE DEL PROYECTO" sheetId="8" r:id="rId11"/>
  </sheets>
  <definedNames>
    <definedName name="_xlnm._FilterDatabase" localSheetId="7" hidden="1">'MET. DE INTERFERENCIAS'!$B$2:$B$178</definedName>
    <definedName name="_xlnm._FilterDatabase" localSheetId="4" hidden="1">'METRADO DE ZANJA Y TUBERIA'!$Q$2:$Q$95</definedName>
    <definedName name="_xlnm.Print_Area" localSheetId="2">'BASE DE DATOS'!$B$1:$I$31</definedName>
    <definedName name="_xlnm.Print_Area" localSheetId="4">'METRADO DE ZANJA Y TUBERIA'!$A$1:$O$149</definedName>
    <definedName name="_xlnm.Print_Area" localSheetId="8">'PLANILLA DE METRADOS'!$A$1:$I$254</definedName>
    <definedName name="_xlnm.Print_Titles" localSheetId="7">'MET. DE INTERFERENCIAS'!$3:$5</definedName>
    <definedName name="_xlnm.Print_Titles" localSheetId="8">'PLANILLA DE METRADOS'!$1:$6</definedName>
    <definedName name="_xlnm.Print_Titles" localSheetId="9">'RESUMEN DE METRADO'!$1:$6</definedName>
  </definedNames>
  <calcPr calcId="145621"/>
</workbook>
</file>

<file path=xl/calcChain.xml><?xml version="1.0" encoding="utf-8"?>
<calcChain xmlns="http://schemas.openxmlformats.org/spreadsheetml/2006/main">
  <c r="I13" i="7" l="1"/>
  <c r="I12" i="7"/>
  <c r="C145" i="3" l="1"/>
  <c r="F12" i="12"/>
  <c r="C144" i="3" s="1"/>
  <c r="D244" i="7" l="1"/>
  <c r="H244" i="7" s="1"/>
  <c r="I244" i="7" s="1"/>
  <c r="D243" i="7"/>
  <c r="H243" i="7" s="1"/>
  <c r="I243" i="7" s="1"/>
  <c r="H242" i="7"/>
  <c r="I242" i="7" s="1"/>
  <c r="D242" i="7"/>
  <c r="H241" i="7"/>
  <c r="I241" i="7" s="1"/>
  <c r="H240" i="7"/>
  <c r="I240" i="7" s="1"/>
  <c r="H239" i="7"/>
  <c r="I239" i="7" s="1"/>
  <c r="H238" i="7"/>
  <c r="I238" i="7" s="1"/>
  <c r="H237" i="7"/>
  <c r="I237" i="7" s="1"/>
  <c r="G218" i="7"/>
  <c r="A204" i="7"/>
  <c r="A205" i="7" s="1"/>
  <c r="A212" i="7" s="1"/>
  <c r="A213" i="7" s="1"/>
  <c r="A214" i="7" s="1"/>
  <c r="A220" i="7" s="1"/>
  <c r="A221" i="7" s="1"/>
  <c r="A222" i="7" s="1"/>
  <c r="A223" i="7" s="1"/>
  <c r="D200" i="7"/>
  <c r="H200" i="7" s="1"/>
  <c r="I200" i="7" s="1"/>
  <c r="D199" i="7"/>
  <c r="H199" i="7" s="1"/>
  <c r="I199" i="7" s="1"/>
  <c r="H148" i="7"/>
  <c r="H147" i="7"/>
  <c r="F143" i="7"/>
  <c r="F142" i="7"/>
  <c r="F138" i="7"/>
  <c r="F137" i="7"/>
  <c r="G103" i="7"/>
  <c r="G102" i="7"/>
  <c r="G99" i="7"/>
  <c r="G98" i="7"/>
  <c r="H40" i="7"/>
  <c r="H39" i="7"/>
  <c r="H38" i="7"/>
  <c r="H37" i="7"/>
  <c r="H36" i="7"/>
  <c r="H35" i="7"/>
  <c r="H34" i="7"/>
  <c r="H33" i="7"/>
  <c r="H32" i="7"/>
  <c r="H30" i="7"/>
  <c r="I30" i="7" s="1"/>
  <c r="H27" i="7"/>
  <c r="I27" i="7" s="1"/>
  <c r="H21" i="7"/>
  <c r="H20" i="7"/>
  <c r="H19" i="7"/>
  <c r="H18" i="7"/>
  <c r="H17" i="7"/>
  <c r="H16" i="7"/>
  <c r="I16" i="7" s="1"/>
  <c r="I14" i="7"/>
  <c r="H14" i="7"/>
  <c r="H13" i="7"/>
  <c r="H12" i="7"/>
  <c r="H11" i="7"/>
  <c r="I11" i="7" s="1"/>
  <c r="H10" i="7"/>
  <c r="I10" i="7" s="1"/>
  <c r="H9" i="7"/>
  <c r="I9" i="7" s="1"/>
  <c r="A8" i="7"/>
  <c r="A29" i="7" s="1"/>
  <c r="I146" i="7" l="1"/>
  <c r="G104" i="7"/>
  <c r="G100" i="7"/>
  <c r="A206" i="7"/>
  <c r="A207" i="7" s="1"/>
  <c r="A208" i="7" s="1"/>
  <c r="A209" i="7" s="1"/>
  <c r="A210" i="7" s="1"/>
  <c r="A42" i="7"/>
  <c r="A30" i="7"/>
  <c r="A9" i="7"/>
  <c r="A10" i="7" s="1"/>
  <c r="A11" i="7" s="1"/>
  <c r="A12" i="7" s="1"/>
  <c r="A13" i="7" s="1"/>
  <c r="A14" i="7" s="1"/>
  <c r="A15" i="7" s="1"/>
  <c r="A16" i="7" s="1"/>
  <c r="A27" i="7" s="1"/>
  <c r="A225" i="7"/>
  <c r="H40" i="5"/>
  <c r="H39" i="5"/>
  <c r="H38" i="5"/>
  <c r="H37" i="5"/>
  <c r="H36" i="5"/>
  <c r="H35" i="5"/>
  <c r="H34" i="5"/>
  <c r="H33" i="5"/>
  <c r="H32" i="5"/>
  <c r="A226" i="7" l="1"/>
  <c r="A227" i="7" s="1"/>
  <c r="A228" i="7" s="1"/>
  <c r="A229" i="7" s="1"/>
  <c r="A230" i="7" s="1"/>
  <c r="A231" i="7" s="1"/>
  <c r="A233" i="7"/>
  <c r="A234" i="7" s="1"/>
  <c r="A43" i="7"/>
  <c r="A44" i="7" s="1"/>
  <c r="A45" i="7" s="1"/>
  <c r="A46" i="7" s="1"/>
  <c r="A48" i="7"/>
  <c r="A12" i="11"/>
  <c r="D71" i="5" l="1"/>
  <c r="D71" i="7"/>
  <c r="H71" i="7" s="1"/>
  <c r="I71" i="7" s="1"/>
  <c r="A72" i="7"/>
  <c r="A49" i="7"/>
  <c r="A235" i="7"/>
  <c r="A236" i="7" s="1"/>
  <c r="A237" i="7" s="1"/>
  <c r="A238" i="7" s="1"/>
  <c r="A239" i="7" s="1"/>
  <c r="A240" i="7" s="1"/>
  <c r="A241" i="7" s="1"/>
  <c r="A242" i="7" s="1"/>
  <c r="A243" i="7" s="1"/>
  <c r="A244" i="7" s="1"/>
  <c r="A246" i="7"/>
  <c r="CQ7" i="3"/>
  <c r="CR7" i="3"/>
  <c r="CS7" i="3"/>
  <c r="CU7" i="3"/>
  <c r="CV7" i="3"/>
  <c r="CQ8" i="3"/>
  <c r="CS8" i="3"/>
  <c r="CT8" i="3"/>
  <c r="CU8" i="3"/>
  <c r="CV8" i="3"/>
  <c r="CQ9" i="3"/>
  <c r="CR9" i="3"/>
  <c r="CS9" i="3"/>
  <c r="CU9" i="3"/>
  <c r="CV9" i="3"/>
  <c r="CQ10" i="3"/>
  <c r="CR10" i="3"/>
  <c r="CS10" i="3"/>
  <c r="CU10" i="3"/>
  <c r="CV10" i="3"/>
  <c r="CQ11" i="3"/>
  <c r="CS11" i="3"/>
  <c r="CT11" i="3"/>
  <c r="CU11" i="3"/>
  <c r="CV11" i="3"/>
  <c r="CQ12" i="3"/>
  <c r="CR12" i="3"/>
  <c r="CS12" i="3"/>
  <c r="CU12" i="3"/>
  <c r="CV12" i="3"/>
  <c r="CQ13" i="3"/>
  <c r="CS13" i="3"/>
  <c r="CT13" i="3"/>
  <c r="CU13" i="3"/>
  <c r="CV13" i="3"/>
  <c r="CQ14" i="3"/>
  <c r="CS14" i="3"/>
  <c r="CT14" i="3"/>
  <c r="CU14" i="3"/>
  <c r="CV14" i="3"/>
  <c r="CQ15" i="3"/>
  <c r="CS15" i="3"/>
  <c r="CT15" i="3"/>
  <c r="CU15" i="3"/>
  <c r="CV15" i="3"/>
  <c r="CQ16" i="3"/>
  <c r="CS16" i="3"/>
  <c r="CT16" i="3"/>
  <c r="CU16" i="3"/>
  <c r="CV16" i="3"/>
  <c r="CQ17" i="3"/>
  <c r="CS17" i="3"/>
  <c r="CT17" i="3"/>
  <c r="CU17" i="3"/>
  <c r="CV17" i="3"/>
  <c r="CQ18" i="3"/>
  <c r="CS18" i="3"/>
  <c r="CT18" i="3"/>
  <c r="CU18" i="3"/>
  <c r="CV18" i="3"/>
  <c r="CQ19" i="3"/>
  <c r="CR19" i="3"/>
  <c r="CS19" i="3"/>
  <c r="CU19" i="3"/>
  <c r="CV19" i="3"/>
  <c r="CQ20" i="3"/>
  <c r="CR20" i="3"/>
  <c r="CS20" i="3"/>
  <c r="CU20" i="3"/>
  <c r="CV20" i="3"/>
  <c r="CQ21" i="3"/>
  <c r="CR21" i="3"/>
  <c r="CS21" i="3"/>
  <c r="CU21" i="3"/>
  <c r="CV21" i="3"/>
  <c r="CQ22" i="3"/>
  <c r="CS22" i="3"/>
  <c r="CT22" i="3"/>
  <c r="CU22" i="3"/>
  <c r="CV22" i="3"/>
  <c r="CQ23" i="3"/>
  <c r="CR23" i="3"/>
  <c r="CS23" i="3"/>
  <c r="CU23" i="3"/>
  <c r="CV23" i="3"/>
  <c r="CQ24" i="3"/>
  <c r="CR24" i="3"/>
  <c r="CS24" i="3"/>
  <c r="CT24" i="3"/>
  <c r="CV24" i="3"/>
  <c r="CQ25" i="3"/>
  <c r="CR25" i="3"/>
  <c r="CS25" i="3"/>
  <c r="CT25" i="3"/>
  <c r="CV25" i="3"/>
  <c r="CQ26" i="3"/>
  <c r="CR26" i="3"/>
  <c r="CS26" i="3"/>
  <c r="CU26" i="3"/>
  <c r="CV26" i="3"/>
  <c r="CQ27" i="3"/>
  <c r="CR27" i="3"/>
  <c r="CS27" i="3"/>
  <c r="CU27" i="3"/>
  <c r="CV27" i="3"/>
  <c r="CQ28" i="3"/>
  <c r="CR28" i="3"/>
  <c r="CS28" i="3"/>
  <c r="CU28" i="3"/>
  <c r="CV28" i="3"/>
  <c r="CQ29" i="3"/>
  <c r="CS29" i="3"/>
  <c r="CT29" i="3"/>
  <c r="CU29" i="3"/>
  <c r="CV29" i="3"/>
  <c r="CQ30" i="3"/>
  <c r="CS30" i="3"/>
  <c r="CT30" i="3"/>
  <c r="CU30" i="3"/>
  <c r="CV30" i="3"/>
  <c r="CQ31" i="3"/>
  <c r="CS31" i="3"/>
  <c r="CT31" i="3"/>
  <c r="CU31" i="3"/>
  <c r="CV31" i="3"/>
  <c r="CQ32" i="3"/>
  <c r="CS32" i="3"/>
  <c r="CT32" i="3"/>
  <c r="CU32" i="3"/>
  <c r="CV32" i="3"/>
  <c r="CQ33" i="3"/>
  <c r="CS33" i="3"/>
  <c r="CT33" i="3"/>
  <c r="CU33" i="3"/>
  <c r="CV33" i="3"/>
  <c r="CQ34" i="3"/>
  <c r="CS34" i="3"/>
  <c r="CT34" i="3"/>
  <c r="CU34" i="3"/>
  <c r="CV34" i="3"/>
  <c r="CQ35" i="3"/>
  <c r="CS35" i="3"/>
  <c r="CT35" i="3"/>
  <c r="CU35" i="3"/>
  <c r="CV35" i="3"/>
  <c r="CQ36" i="3"/>
  <c r="CS36" i="3"/>
  <c r="CT36" i="3"/>
  <c r="CU36" i="3"/>
  <c r="CV36" i="3"/>
  <c r="CQ37" i="3"/>
  <c r="CR37" i="3"/>
  <c r="CS37" i="3"/>
  <c r="CU37" i="3"/>
  <c r="CV37" i="3"/>
  <c r="CQ38" i="3"/>
  <c r="CS38" i="3"/>
  <c r="CT38" i="3"/>
  <c r="CU38" i="3"/>
  <c r="CV38" i="3"/>
  <c r="CQ39" i="3"/>
  <c r="CS39" i="3"/>
  <c r="CT39" i="3"/>
  <c r="CU39" i="3"/>
  <c r="CV39" i="3"/>
  <c r="CQ40" i="3"/>
  <c r="CR40" i="3"/>
  <c r="CS40" i="3"/>
  <c r="CT40" i="3"/>
  <c r="CV40" i="3"/>
  <c r="CQ41" i="3"/>
  <c r="CS41" i="3"/>
  <c r="CT41" i="3"/>
  <c r="CU41" i="3"/>
  <c r="CV41" i="3"/>
  <c r="CQ42" i="3"/>
  <c r="CR42" i="3"/>
  <c r="CS42" i="3"/>
  <c r="CU42" i="3"/>
  <c r="CV42" i="3"/>
  <c r="CQ43" i="3"/>
  <c r="CR43" i="3"/>
  <c r="CS43" i="3"/>
  <c r="CU43" i="3"/>
  <c r="CV43" i="3"/>
  <c r="CQ44" i="3"/>
  <c r="CR44" i="3"/>
  <c r="CS44" i="3"/>
  <c r="CU44" i="3"/>
  <c r="CV44" i="3"/>
  <c r="CQ45" i="3"/>
  <c r="CR45" i="3"/>
  <c r="CS45" i="3"/>
  <c r="CU45" i="3"/>
  <c r="CV45" i="3"/>
  <c r="CQ46" i="3"/>
  <c r="CR46" i="3"/>
  <c r="CS46" i="3"/>
  <c r="CU46" i="3"/>
  <c r="CV46" i="3"/>
  <c r="CQ47" i="3"/>
  <c r="CR47" i="3"/>
  <c r="CS47" i="3"/>
  <c r="CU47" i="3"/>
  <c r="CV47" i="3"/>
  <c r="CQ48" i="3"/>
  <c r="CR48" i="3"/>
  <c r="CS48" i="3"/>
  <c r="CU48" i="3"/>
  <c r="CV48" i="3"/>
  <c r="CQ49" i="3"/>
  <c r="CS49" i="3"/>
  <c r="CT49" i="3"/>
  <c r="CU49" i="3"/>
  <c r="CV49" i="3"/>
  <c r="CQ50" i="3"/>
  <c r="CR50" i="3"/>
  <c r="CS50" i="3"/>
  <c r="CU50" i="3"/>
  <c r="CV50" i="3"/>
  <c r="CQ51" i="3"/>
  <c r="CR51" i="3"/>
  <c r="CS51" i="3"/>
  <c r="CU51" i="3"/>
  <c r="CV51" i="3"/>
  <c r="CQ52" i="3"/>
  <c r="CR52" i="3"/>
  <c r="CS52" i="3"/>
  <c r="CU52" i="3"/>
  <c r="CV52" i="3"/>
  <c r="CQ53" i="3"/>
  <c r="CR53" i="3"/>
  <c r="CS53" i="3"/>
  <c r="CU53" i="3"/>
  <c r="CV53" i="3"/>
  <c r="CQ54" i="3"/>
  <c r="CR54" i="3"/>
  <c r="CS54" i="3"/>
  <c r="CU54" i="3"/>
  <c r="CV54" i="3"/>
  <c r="CQ55" i="3"/>
  <c r="CR55" i="3"/>
  <c r="CS55" i="3"/>
  <c r="CU55" i="3"/>
  <c r="CV55" i="3"/>
  <c r="CQ56" i="3"/>
  <c r="CR56" i="3"/>
  <c r="CS56" i="3"/>
  <c r="CU56" i="3"/>
  <c r="CV56" i="3"/>
  <c r="CQ57" i="3"/>
  <c r="CS57" i="3"/>
  <c r="CT57" i="3"/>
  <c r="CU57" i="3"/>
  <c r="CV57" i="3"/>
  <c r="CQ58" i="3"/>
  <c r="CS58" i="3"/>
  <c r="CT58" i="3"/>
  <c r="CU58" i="3"/>
  <c r="CV58" i="3"/>
  <c r="CQ59" i="3"/>
  <c r="CR59" i="3"/>
  <c r="CS59" i="3"/>
  <c r="CU59" i="3"/>
  <c r="CV59" i="3"/>
  <c r="CQ60" i="3"/>
  <c r="CR60" i="3"/>
  <c r="CS60" i="3"/>
  <c r="CU60" i="3"/>
  <c r="CV60" i="3"/>
  <c r="CQ61" i="3"/>
  <c r="CR61" i="3"/>
  <c r="CS61" i="3"/>
  <c r="CU61" i="3"/>
  <c r="CV61" i="3"/>
  <c r="CQ62" i="3"/>
  <c r="CR62" i="3"/>
  <c r="CS62" i="3"/>
  <c r="CU62" i="3"/>
  <c r="CV62" i="3"/>
  <c r="CQ63" i="3"/>
  <c r="CR63" i="3"/>
  <c r="CS63" i="3"/>
  <c r="CU63" i="3"/>
  <c r="CV63" i="3"/>
  <c r="CQ64" i="3"/>
  <c r="CR64" i="3"/>
  <c r="CS64" i="3"/>
  <c r="CU64" i="3"/>
  <c r="CV64" i="3"/>
  <c r="CQ65" i="3"/>
  <c r="CR65" i="3"/>
  <c r="CS65" i="3"/>
  <c r="CU65" i="3"/>
  <c r="CV65" i="3"/>
  <c r="CQ66" i="3"/>
  <c r="CR66" i="3"/>
  <c r="CS66" i="3"/>
  <c r="CT66" i="3"/>
  <c r="CV66" i="3"/>
  <c r="CQ67" i="3"/>
  <c r="CR67" i="3"/>
  <c r="CS67" i="3"/>
  <c r="CT67" i="3"/>
  <c r="CV67" i="3"/>
  <c r="CQ68" i="3"/>
  <c r="CR68" i="3"/>
  <c r="CS68" i="3"/>
  <c r="CU68" i="3"/>
  <c r="CV68" i="3"/>
  <c r="CQ69" i="3"/>
  <c r="CR69" i="3"/>
  <c r="CS69" i="3"/>
  <c r="CU69" i="3"/>
  <c r="CV69" i="3"/>
  <c r="CQ70" i="3"/>
  <c r="CR70" i="3"/>
  <c r="CS70" i="3"/>
  <c r="CU70" i="3"/>
  <c r="CV70" i="3"/>
  <c r="CQ71" i="3"/>
  <c r="CR71" i="3"/>
  <c r="CS71" i="3"/>
  <c r="CU71" i="3"/>
  <c r="CV71" i="3"/>
  <c r="CQ72" i="3"/>
  <c r="CS72" i="3"/>
  <c r="CT72" i="3"/>
  <c r="CU72" i="3"/>
  <c r="CV72" i="3"/>
  <c r="CQ73" i="3"/>
  <c r="CS73" i="3"/>
  <c r="CT73" i="3"/>
  <c r="CU73" i="3"/>
  <c r="CV73" i="3"/>
  <c r="CQ74" i="3"/>
  <c r="CS74" i="3"/>
  <c r="CT74" i="3"/>
  <c r="CU74" i="3"/>
  <c r="CV74" i="3"/>
  <c r="CQ75" i="3"/>
  <c r="CS75" i="3"/>
  <c r="CT75" i="3"/>
  <c r="CU75" i="3"/>
  <c r="CV75" i="3"/>
  <c r="CQ76" i="3"/>
  <c r="CS76" i="3"/>
  <c r="CT76" i="3"/>
  <c r="CU76" i="3"/>
  <c r="CV76" i="3"/>
  <c r="CQ77" i="3"/>
  <c r="CR77" i="3"/>
  <c r="CS77" i="3"/>
  <c r="CU77" i="3"/>
  <c r="CV77" i="3"/>
  <c r="CQ78" i="3"/>
  <c r="CR78" i="3"/>
  <c r="CS78" i="3"/>
  <c r="CU78" i="3"/>
  <c r="CV78" i="3"/>
  <c r="CQ79" i="3"/>
  <c r="CR79" i="3"/>
  <c r="CS79" i="3"/>
  <c r="CT79" i="3"/>
  <c r="CV79" i="3"/>
  <c r="CQ80" i="3"/>
  <c r="CR80" i="3"/>
  <c r="CS80" i="3"/>
  <c r="CU80" i="3"/>
  <c r="CV80" i="3"/>
  <c r="CQ81" i="3"/>
  <c r="CR81" i="3"/>
  <c r="CS81" i="3"/>
  <c r="CU81" i="3"/>
  <c r="CV81" i="3"/>
  <c r="CQ82" i="3"/>
  <c r="CR82" i="3"/>
  <c r="CS82" i="3"/>
  <c r="CU82" i="3"/>
  <c r="CV82" i="3"/>
  <c r="CQ83" i="3"/>
  <c r="CR83" i="3"/>
  <c r="CS83" i="3"/>
  <c r="CU83" i="3"/>
  <c r="CV83" i="3"/>
  <c r="CQ84" i="3"/>
  <c r="CS84" i="3"/>
  <c r="CT84" i="3"/>
  <c r="CU84" i="3"/>
  <c r="CV84" i="3"/>
  <c r="CQ85" i="3"/>
  <c r="CR85" i="3"/>
  <c r="CS85" i="3"/>
  <c r="CT85" i="3"/>
  <c r="CV85" i="3"/>
  <c r="CQ86" i="3"/>
  <c r="CS86" i="3"/>
  <c r="CT86" i="3"/>
  <c r="CU86" i="3"/>
  <c r="CV86" i="3"/>
  <c r="CQ87" i="3"/>
  <c r="CS87" i="3"/>
  <c r="CT87" i="3"/>
  <c r="CU87" i="3"/>
  <c r="CV87" i="3"/>
  <c r="CQ88" i="3"/>
  <c r="CS88" i="3"/>
  <c r="CT88" i="3"/>
  <c r="CU88" i="3"/>
  <c r="CV88" i="3"/>
  <c r="CQ89" i="3"/>
  <c r="CS89" i="3"/>
  <c r="CT89" i="3"/>
  <c r="CU89" i="3"/>
  <c r="CV89" i="3"/>
  <c r="CQ90" i="3"/>
  <c r="CS90" i="3"/>
  <c r="CT90" i="3"/>
  <c r="CU90" i="3"/>
  <c r="CV90" i="3"/>
  <c r="CQ91" i="3"/>
  <c r="CS91" i="3"/>
  <c r="CT91" i="3"/>
  <c r="CU91" i="3"/>
  <c r="CV91" i="3"/>
  <c r="CQ92" i="3"/>
  <c r="CS92" i="3"/>
  <c r="CT92" i="3"/>
  <c r="CU92" i="3"/>
  <c r="CV92" i="3"/>
  <c r="CQ93" i="3"/>
  <c r="CS93" i="3"/>
  <c r="CT93" i="3"/>
  <c r="CU93" i="3"/>
  <c r="CV93" i="3"/>
  <c r="CQ94" i="3"/>
  <c r="CS94" i="3"/>
  <c r="CT94" i="3"/>
  <c r="CU94" i="3"/>
  <c r="CV94" i="3"/>
  <c r="CV6" i="3"/>
  <c r="CU6" i="3"/>
  <c r="CT6" i="3"/>
  <c r="CS6" i="3"/>
  <c r="CQ6" i="3"/>
  <c r="D79" i="10"/>
  <c r="E118" i="3" s="1"/>
  <c r="C79" i="10"/>
  <c r="B79" i="10"/>
  <c r="A79" i="10"/>
  <c r="E46" i="5" l="1"/>
  <c r="E46" i="7"/>
  <c r="H46" i="7" s="1"/>
  <c r="I46" i="7" s="1"/>
  <c r="A163" i="7"/>
  <c r="A73" i="7"/>
  <c r="A55" i="7"/>
  <c r="A56" i="7" s="1"/>
  <c r="A57" i="7" s="1"/>
  <c r="A58" i="7" s="1"/>
  <c r="A59" i="7" s="1"/>
  <c r="A60" i="7" s="1"/>
  <c r="A61" i="7" s="1"/>
  <c r="A62" i="7" s="1"/>
  <c r="A66" i="7" s="1"/>
  <c r="A67" i="7" s="1"/>
  <c r="A68" i="7" s="1"/>
  <c r="A69" i="7" s="1"/>
  <c r="A70" i="7" s="1"/>
  <c r="A71" i="7" s="1"/>
  <c r="A50" i="7"/>
  <c r="A51" i="7" s="1"/>
  <c r="A52" i="7" s="1"/>
  <c r="A53" i="7" s="1"/>
  <c r="A251" i="7"/>
  <c r="A252" i="7" s="1"/>
  <c r="A253" i="7" s="1"/>
  <c r="A247" i="7"/>
  <c r="A248" i="7" s="1"/>
  <c r="A249" i="7" s="1"/>
  <c r="A250" i="7" s="1"/>
  <c r="B80" i="10"/>
  <c r="E117" i="3" s="1"/>
  <c r="H46" i="5"/>
  <c r="I46" i="5" s="1"/>
  <c r="E45" i="5" l="1"/>
  <c r="E45" i="7"/>
  <c r="H45" i="7" s="1"/>
  <c r="I45" i="7" s="1"/>
  <c r="A74" i="7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106" i="7"/>
  <c r="A164" i="7"/>
  <c r="A165" i="7" s="1"/>
  <c r="A166" i="7" s="1"/>
  <c r="A167" i="7" s="1"/>
  <c r="A168" i="7" s="1"/>
  <c r="A169" i="7" s="1"/>
  <c r="A171" i="7"/>
  <c r="C177" i="9"/>
  <c r="C176" i="9"/>
  <c r="D173" i="9"/>
  <c r="C173" i="9"/>
  <c r="D208" i="5" l="1"/>
  <c r="D208" i="7"/>
  <c r="H208" i="7" s="1"/>
  <c r="I208" i="7" s="1"/>
  <c r="A172" i="7"/>
  <c r="A173" i="7" s="1"/>
  <c r="A174" i="7" s="1"/>
  <c r="A175" i="7" s="1"/>
  <c r="A184" i="7" s="1"/>
  <c r="A187" i="7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A199" i="7" s="1"/>
  <c r="A200" i="7" s="1"/>
  <c r="A201" i="7" s="1"/>
  <c r="A202" i="7" s="1"/>
  <c r="A133" i="7"/>
  <c r="A134" i="7" s="1"/>
  <c r="A136" i="7" s="1"/>
  <c r="A141" i="7" s="1"/>
  <c r="A146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07" i="7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C178" i="9"/>
  <c r="W488" i="6"/>
  <c r="D134" i="5" l="1"/>
  <c r="D134" i="7"/>
  <c r="D108" i="5"/>
  <c r="D108" i="7"/>
  <c r="H108" i="7" s="1"/>
  <c r="I108" i="7" s="1"/>
  <c r="D174" i="9"/>
  <c r="H21" i="5"/>
  <c r="H16" i="5"/>
  <c r="I16" i="5" s="1"/>
  <c r="H17" i="5"/>
  <c r="H18" i="5"/>
  <c r="H19" i="5"/>
  <c r="H20" i="5"/>
  <c r="H27" i="5"/>
  <c r="I27" i="5" s="1"/>
  <c r="D160" i="7" l="1"/>
  <c r="H160" i="7" s="1"/>
  <c r="I160" i="7" s="1"/>
  <c r="D150" i="7"/>
  <c r="H150" i="7" s="1"/>
  <c r="I150" i="7" s="1"/>
  <c r="H134" i="7"/>
  <c r="I134" i="7" s="1"/>
  <c r="D158" i="7"/>
  <c r="H158" i="7" s="1"/>
  <c r="I158" i="7" s="1"/>
  <c r="D154" i="7"/>
  <c r="H154" i="7" s="1"/>
  <c r="I154" i="7" s="1"/>
  <c r="D161" i="7"/>
  <c r="H161" i="7" s="1"/>
  <c r="I161" i="7" s="1"/>
  <c r="D153" i="7"/>
  <c r="H153" i="7" s="1"/>
  <c r="I153" i="7" s="1"/>
  <c r="D142" i="7"/>
  <c r="D152" i="7"/>
  <c r="H152" i="7" s="1"/>
  <c r="I152" i="7" s="1"/>
  <c r="D159" i="7"/>
  <c r="H159" i="7" s="1"/>
  <c r="I159" i="7" s="1"/>
  <c r="D151" i="7"/>
  <c r="H151" i="7" s="1"/>
  <c r="I151" i="7" s="1"/>
  <c r="D155" i="7"/>
  <c r="H155" i="7" s="1"/>
  <c r="I155" i="7" s="1"/>
  <c r="D156" i="7"/>
  <c r="H156" i="7" s="1"/>
  <c r="I156" i="7" s="1"/>
  <c r="D157" i="7"/>
  <c r="H157" i="7" s="1"/>
  <c r="I157" i="7" s="1"/>
  <c r="D137" i="7"/>
  <c r="D107" i="5"/>
  <c r="D107" i="7"/>
  <c r="H107" i="7" s="1"/>
  <c r="I107" i="7" s="1"/>
  <c r="D244" i="5"/>
  <c r="D243" i="5"/>
  <c r="D242" i="5"/>
  <c r="G103" i="5"/>
  <c r="G102" i="5"/>
  <c r="D144" i="7" l="1"/>
  <c r="H144" i="7" s="1"/>
  <c r="H142" i="7"/>
  <c r="D143" i="7"/>
  <c r="H143" i="7" s="1"/>
  <c r="H137" i="7"/>
  <c r="D138" i="7"/>
  <c r="H138" i="7" s="1"/>
  <c r="D139" i="7"/>
  <c r="H139" i="7" s="1"/>
  <c r="G104" i="5"/>
  <c r="H240" i="5"/>
  <c r="I240" i="5" s="1"/>
  <c r="E522" i="6"/>
  <c r="G509" i="6"/>
  <c r="F509" i="6"/>
  <c r="E509" i="6"/>
  <c r="D509" i="6"/>
  <c r="G508" i="6"/>
  <c r="F508" i="6"/>
  <c r="E508" i="6"/>
  <c r="D508" i="6"/>
  <c r="G507" i="6"/>
  <c r="F507" i="6"/>
  <c r="E507" i="6"/>
  <c r="D507" i="6"/>
  <c r="G506" i="6"/>
  <c r="F506" i="6"/>
  <c r="E506" i="6"/>
  <c r="AD4" i="6"/>
  <c r="AE4" i="6"/>
  <c r="AF4" i="6"/>
  <c r="AG4" i="6"/>
  <c r="AD5" i="6"/>
  <c r="AE5" i="6"/>
  <c r="AF5" i="6"/>
  <c r="AG5" i="6"/>
  <c r="AD6" i="6"/>
  <c r="AE6" i="6"/>
  <c r="AF6" i="6"/>
  <c r="AG6" i="6"/>
  <c r="AD7" i="6"/>
  <c r="AE7" i="6"/>
  <c r="AF7" i="6"/>
  <c r="AG7" i="6"/>
  <c r="AD8" i="6"/>
  <c r="AE8" i="6"/>
  <c r="AF8" i="6"/>
  <c r="AG8" i="6"/>
  <c r="AD9" i="6"/>
  <c r="AE9" i="6"/>
  <c r="AF9" i="6"/>
  <c r="AG9" i="6"/>
  <c r="AD10" i="6"/>
  <c r="AE10" i="6"/>
  <c r="AF10" i="6"/>
  <c r="AG10" i="6"/>
  <c r="AD11" i="6"/>
  <c r="AE11" i="6"/>
  <c r="AF11" i="6"/>
  <c r="AG11" i="6"/>
  <c r="AD12" i="6"/>
  <c r="AE12" i="6"/>
  <c r="AF12" i="6"/>
  <c r="AG12" i="6"/>
  <c r="AD13" i="6"/>
  <c r="AE13" i="6"/>
  <c r="AF13" i="6"/>
  <c r="AG13" i="6"/>
  <c r="AD14" i="6"/>
  <c r="AE14" i="6"/>
  <c r="AF14" i="6"/>
  <c r="AG14" i="6"/>
  <c r="AD15" i="6"/>
  <c r="AE15" i="6"/>
  <c r="AF15" i="6"/>
  <c r="AG15" i="6"/>
  <c r="AD16" i="6"/>
  <c r="AE16" i="6"/>
  <c r="AF16" i="6"/>
  <c r="AG16" i="6"/>
  <c r="AD17" i="6"/>
  <c r="AE17" i="6"/>
  <c r="AF17" i="6"/>
  <c r="AG17" i="6"/>
  <c r="AD18" i="6"/>
  <c r="AE18" i="6"/>
  <c r="AF18" i="6"/>
  <c r="AG18" i="6"/>
  <c r="AD19" i="6"/>
  <c r="AE19" i="6"/>
  <c r="AF19" i="6"/>
  <c r="AG19" i="6"/>
  <c r="AD20" i="6"/>
  <c r="AE20" i="6"/>
  <c r="AF20" i="6"/>
  <c r="AG20" i="6"/>
  <c r="AD21" i="6"/>
  <c r="AE21" i="6"/>
  <c r="AF21" i="6"/>
  <c r="AG21" i="6"/>
  <c r="AD22" i="6"/>
  <c r="AE22" i="6"/>
  <c r="AF22" i="6"/>
  <c r="AG22" i="6"/>
  <c r="AD23" i="6"/>
  <c r="AE23" i="6"/>
  <c r="AF23" i="6"/>
  <c r="AG23" i="6"/>
  <c r="AD24" i="6"/>
  <c r="AE24" i="6"/>
  <c r="AF24" i="6"/>
  <c r="AG24" i="6"/>
  <c r="AD25" i="6"/>
  <c r="AE25" i="6"/>
  <c r="AF25" i="6"/>
  <c r="AG25" i="6"/>
  <c r="AD26" i="6"/>
  <c r="AE26" i="6"/>
  <c r="AF26" i="6"/>
  <c r="AG26" i="6"/>
  <c r="AD27" i="6"/>
  <c r="AE27" i="6"/>
  <c r="AF27" i="6"/>
  <c r="AG27" i="6"/>
  <c r="AD28" i="6"/>
  <c r="AE28" i="6"/>
  <c r="AF28" i="6"/>
  <c r="AG28" i="6"/>
  <c r="AD29" i="6"/>
  <c r="AE29" i="6"/>
  <c r="AF29" i="6"/>
  <c r="AG29" i="6"/>
  <c r="AD30" i="6"/>
  <c r="AE30" i="6"/>
  <c r="AF30" i="6"/>
  <c r="AG30" i="6"/>
  <c r="AD31" i="6"/>
  <c r="AE31" i="6"/>
  <c r="AF31" i="6"/>
  <c r="AG31" i="6"/>
  <c r="AD32" i="6"/>
  <c r="AE32" i="6"/>
  <c r="AF32" i="6"/>
  <c r="AG32" i="6"/>
  <c r="AD33" i="6"/>
  <c r="AE33" i="6"/>
  <c r="AF33" i="6"/>
  <c r="AG33" i="6"/>
  <c r="AD34" i="6"/>
  <c r="AE34" i="6"/>
  <c r="AF34" i="6"/>
  <c r="AG34" i="6"/>
  <c r="AD35" i="6"/>
  <c r="AE35" i="6"/>
  <c r="AF35" i="6"/>
  <c r="AG35" i="6"/>
  <c r="AD36" i="6"/>
  <c r="AE36" i="6"/>
  <c r="AF36" i="6"/>
  <c r="AG36" i="6"/>
  <c r="AD37" i="6"/>
  <c r="AE37" i="6"/>
  <c r="AF37" i="6"/>
  <c r="AG37" i="6"/>
  <c r="AD38" i="6"/>
  <c r="AE38" i="6"/>
  <c r="AF38" i="6"/>
  <c r="AG38" i="6"/>
  <c r="AD39" i="6"/>
  <c r="AE39" i="6"/>
  <c r="AF39" i="6"/>
  <c r="AG39" i="6"/>
  <c r="AD40" i="6"/>
  <c r="AE40" i="6"/>
  <c r="AF40" i="6"/>
  <c r="AG40" i="6"/>
  <c r="AD41" i="6"/>
  <c r="AE41" i="6"/>
  <c r="AF41" i="6"/>
  <c r="AG41" i="6"/>
  <c r="AD42" i="6"/>
  <c r="AE42" i="6"/>
  <c r="AF42" i="6"/>
  <c r="AG42" i="6"/>
  <c r="AD43" i="6"/>
  <c r="AE43" i="6"/>
  <c r="AF43" i="6"/>
  <c r="AG43" i="6"/>
  <c r="AD44" i="6"/>
  <c r="AE44" i="6"/>
  <c r="AF44" i="6"/>
  <c r="AG44" i="6"/>
  <c r="AD45" i="6"/>
  <c r="AE45" i="6"/>
  <c r="AF45" i="6"/>
  <c r="AG45" i="6"/>
  <c r="AD46" i="6"/>
  <c r="AE46" i="6"/>
  <c r="AF46" i="6"/>
  <c r="AG46" i="6"/>
  <c r="AD47" i="6"/>
  <c r="AE47" i="6"/>
  <c r="AF47" i="6"/>
  <c r="AG47" i="6"/>
  <c r="AD48" i="6"/>
  <c r="AE48" i="6"/>
  <c r="AF48" i="6"/>
  <c r="AG48" i="6"/>
  <c r="AD49" i="6"/>
  <c r="AE49" i="6"/>
  <c r="AF49" i="6"/>
  <c r="AG49" i="6"/>
  <c r="AD50" i="6"/>
  <c r="AE50" i="6"/>
  <c r="AF50" i="6"/>
  <c r="AG50" i="6"/>
  <c r="AD51" i="6"/>
  <c r="AE51" i="6"/>
  <c r="AF51" i="6"/>
  <c r="AG51" i="6"/>
  <c r="AD52" i="6"/>
  <c r="AE52" i="6"/>
  <c r="AF52" i="6"/>
  <c r="AG52" i="6"/>
  <c r="AD53" i="6"/>
  <c r="AE53" i="6"/>
  <c r="AF53" i="6"/>
  <c r="AG53" i="6"/>
  <c r="AD54" i="6"/>
  <c r="AE54" i="6"/>
  <c r="AF54" i="6"/>
  <c r="AG54" i="6"/>
  <c r="AD55" i="6"/>
  <c r="AE55" i="6"/>
  <c r="AF55" i="6"/>
  <c r="AG55" i="6"/>
  <c r="AD56" i="6"/>
  <c r="AE56" i="6"/>
  <c r="AF56" i="6"/>
  <c r="AG56" i="6"/>
  <c r="AD57" i="6"/>
  <c r="AE57" i="6"/>
  <c r="AF57" i="6"/>
  <c r="AG57" i="6"/>
  <c r="AD58" i="6"/>
  <c r="AE58" i="6"/>
  <c r="AF58" i="6"/>
  <c r="AG58" i="6"/>
  <c r="AD59" i="6"/>
  <c r="AE59" i="6"/>
  <c r="AF59" i="6"/>
  <c r="AG59" i="6"/>
  <c r="AD60" i="6"/>
  <c r="AE60" i="6"/>
  <c r="AF60" i="6"/>
  <c r="AG60" i="6"/>
  <c r="AD61" i="6"/>
  <c r="AE61" i="6"/>
  <c r="AF61" i="6"/>
  <c r="AG61" i="6"/>
  <c r="AD62" i="6"/>
  <c r="AE62" i="6"/>
  <c r="AF62" i="6"/>
  <c r="AG62" i="6"/>
  <c r="AD63" i="6"/>
  <c r="AE63" i="6"/>
  <c r="AF63" i="6"/>
  <c r="AG63" i="6"/>
  <c r="AD64" i="6"/>
  <c r="AE64" i="6"/>
  <c r="AF64" i="6"/>
  <c r="AG64" i="6"/>
  <c r="AD65" i="6"/>
  <c r="AE65" i="6"/>
  <c r="AF65" i="6"/>
  <c r="AG65" i="6"/>
  <c r="AD66" i="6"/>
  <c r="AE66" i="6"/>
  <c r="AF66" i="6"/>
  <c r="AG66" i="6"/>
  <c r="AD67" i="6"/>
  <c r="AE67" i="6"/>
  <c r="AF67" i="6"/>
  <c r="AG67" i="6"/>
  <c r="AD68" i="6"/>
  <c r="AE68" i="6"/>
  <c r="AF68" i="6"/>
  <c r="AG68" i="6"/>
  <c r="AD69" i="6"/>
  <c r="AE69" i="6"/>
  <c r="AF69" i="6"/>
  <c r="AG69" i="6"/>
  <c r="AD70" i="6"/>
  <c r="AE70" i="6"/>
  <c r="AF70" i="6"/>
  <c r="AG70" i="6"/>
  <c r="AD71" i="6"/>
  <c r="AE71" i="6"/>
  <c r="AF71" i="6"/>
  <c r="AG71" i="6"/>
  <c r="AD72" i="6"/>
  <c r="AE72" i="6"/>
  <c r="AF72" i="6"/>
  <c r="AG72" i="6"/>
  <c r="AD73" i="6"/>
  <c r="AE73" i="6"/>
  <c r="AF73" i="6"/>
  <c r="AG73" i="6"/>
  <c r="AD74" i="6"/>
  <c r="AE74" i="6"/>
  <c r="AF74" i="6"/>
  <c r="AG74" i="6"/>
  <c r="AD75" i="6"/>
  <c r="AE75" i="6"/>
  <c r="AF75" i="6"/>
  <c r="AG75" i="6"/>
  <c r="AD76" i="6"/>
  <c r="AE76" i="6"/>
  <c r="AF76" i="6"/>
  <c r="AG76" i="6"/>
  <c r="AD77" i="6"/>
  <c r="AE77" i="6"/>
  <c r="AF77" i="6"/>
  <c r="AG77" i="6"/>
  <c r="AD78" i="6"/>
  <c r="AE78" i="6"/>
  <c r="AF78" i="6"/>
  <c r="AG78" i="6"/>
  <c r="AD79" i="6"/>
  <c r="AE79" i="6"/>
  <c r="AF79" i="6"/>
  <c r="AG79" i="6"/>
  <c r="AD80" i="6"/>
  <c r="AE80" i="6"/>
  <c r="AF80" i="6"/>
  <c r="AG80" i="6"/>
  <c r="AD81" i="6"/>
  <c r="AE81" i="6"/>
  <c r="AF81" i="6"/>
  <c r="AG81" i="6"/>
  <c r="AD82" i="6"/>
  <c r="AE82" i="6"/>
  <c r="AF82" i="6"/>
  <c r="AG82" i="6"/>
  <c r="AD83" i="6"/>
  <c r="AE83" i="6"/>
  <c r="AF83" i="6"/>
  <c r="AG83" i="6"/>
  <c r="AD84" i="6"/>
  <c r="AE84" i="6"/>
  <c r="AF84" i="6"/>
  <c r="AG84" i="6"/>
  <c r="AD85" i="6"/>
  <c r="AE85" i="6"/>
  <c r="AF85" i="6"/>
  <c r="AG85" i="6"/>
  <c r="AD86" i="6"/>
  <c r="AE86" i="6"/>
  <c r="AF86" i="6"/>
  <c r="AG86" i="6"/>
  <c r="AD87" i="6"/>
  <c r="AE87" i="6"/>
  <c r="AF87" i="6"/>
  <c r="AG87" i="6"/>
  <c r="AD88" i="6"/>
  <c r="AE88" i="6"/>
  <c r="AF88" i="6"/>
  <c r="AG88" i="6"/>
  <c r="AD89" i="6"/>
  <c r="AE89" i="6"/>
  <c r="AF89" i="6"/>
  <c r="AG89" i="6"/>
  <c r="AD90" i="6"/>
  <c r="AE90" i="6"/>
  <c r="AF90" i="6"/>
  <c r="AG90" i="6"/>
  <c r="AD91" i="6"/>
  <c r="AE91" i="6"/>
  <c r="AF91" i="6"/>
  <c r="AG91" i="6"/>
  <c r="AD92" i="6"/>
  <c r="AE92" i="6"/>
  <c r="AF92" i="6"/>
  <c r="AG92" i="6"/>
  <c r="AD93" i="6"/>
  <c r="AE93" i="6"/>
  <c r="AF93" i="6"/>
  <c r="AG93" i="6"/>
  <c r="AD94" i="6"/>
  <c r="AE94" i="6"/>
  <c r="AF94" i="6"/>
  <c r="AG94" i="6"/>
  <c r="AD95" i="6"/>
  <c r="AE95" i="6"/>
  <c r="AF95" i="6"/>
  <c r="AG95" i="6"/>
  <c r="AD96" i="6"/>
  <c r="AE96" i="6"/>
  <c r="AF96" i="6"/>
  <c r="AG96" i="6"/>
  <c r="AD97" i="6"/>
  <c r="AE97" i="6"/>
  <c r="AF97" i="6"/>
  <c r="AG97" i="6"/>
  <c r="AD98" i="6"/>
  <c r="AE98" i="6"/>
  <c r="AF98" i="6"/>
  <c r="AG98" i="6"/>
  <c r="AD99" i="6"/>
  <c r="AE99" i="6"/>
  <c r="AF99" i="6"/>
  <c r="AG99" i="6"/>
  <c r="AD100" i="6"/>
  <c r="AE100" i="6"/>
  <c r="AF100" i="6"/>
  <c r="AG100" i="6"/>
  <c r="AD101" i="6"/>
  <c r="AE101" i="6"/>
  <c r="AF101" i="6"/>
  <c r="AG101" i="6"/>
  <c r="AD102" i="6"/>
  <c r="AE102" i="6"/>
  <c r="AF102" i="6"/>
  <c r="AG102" i="6"/>
  <c r="AD103" i="6"/>
  <c r="AE103" i="6"/>
  <c r="AF103" i="6"/>
  <c r="AG103" i="6"/>
  <c r="AD104" i="6"/>
  <c r="AE104" i="6"/>
  <c r="AF104" i="6"/>
  <c r="AG104" i="6"/>
  <c r="AD105" i="6"/>
  <c r="AE105" i="6"/>
  <c r="AF105" i="6"/>
  <c r="AG105" i="6"/>
  <c r="AD106" i="6"/>
  <c r="AE106" i="6"/>
  <c r="AF106" i="6"/>
  <c r="AG106" i="6"/>
  <c r="AD107" i="6"/>
  <c r="AE107" i="6"/>
  <c r="AF107" i="6"/>
  <c r="AG107" i="6"/>
  <c r="AD108" i="6"/>
  <c r="AE108" i="6"/>
  <c r="AF108" i="6"/>
  <c r="AG108" i="6"/>
  <c r="AD109" i="6"/>
  <c r="AE109" i="6"/>
  <c r="AF109" i="6"/>
  <c r="AG109" i="6"/>
  <c r="AD110" i="6"/>
  <c r="AE110" i="6"/>
  <c r="AF110" i="6"/>
  <c r="AG110" i="6"/>
  <c r="AD111" i="6"/>
  <c r="AE111" i="6"/>
  <c r="AF111" i="6"/>
  <c r="AG111" i="6"/>
  <c r="AD112" i="6"/>
  <c r="AE112" i="6"/>
  <c r="AF112" i="6"/>
  <c r="AG112" i="6"/>
  <c r="AD113" i="6"/>
  <c r="AE113" i="6"/>
  <c r="AF113" i="6"/>
  <c r="AG113" i="6"/>
  <c r="AD114" i="6"/>
  <c r="AE114" i="6"/>
  <c r="AF114" i="6"/>
  <c r="AG114" i="6"/>
  <c r="AD115" i="6"/>
  <c r="AE115" i="6"/>
  <c r="AF115" i="6"/>
  <c r="AG115" i="6"/>
  <c r="AD116" i="6"/>
  <c r="AE116" i="6"/>
  <c r="AF116" i="6"/>
  <c r="AG116" i="6"/>
  <c r="AD117" i="6"/>
  <c r="AE117" i="6"/>
  <c r="AF117" i="6"/>
  <c r="AG117" i="6"/>
  <c r="AD118" i="6"/>
  <c r="AE118" i="6"/>
  <c r="AF118" i="6"/>
  <c r="AG118" i="6"/>
  <c r="AD119" i="6"/>
  <c r="AE119" i="6"/>
  <c r="AF119" i="6"/>
  <c r="AG119" i="6"/>
  <c r="AD120" i="6"/>
  <c r="AE120" i="6"/>
  <c r="AF120" i="6"/>
  <c r="AG120" i="6"/>
  <c r="AD121" i="6"/>
  <c r="AE121" i="6"/>
  <c r="AF121" i="6"/>
  <c r="AG121" i="6"/>
  <c r="AD122" i="6"/>
  <c r="AE122" i="6"/>
  <c r="AF122" i="6"/>
  <c r="AG122" i="6"/>
  <c r="AD123" i="6"/>
  <c r="AE123" i="6"/>
  <c r="AF123" i="6"/>
  <c r="AG123" i="6"/>
  <c r="AD124" i="6"/>
  <c r="AE124" i="6"/>
  <c r="AF124" i="6"/>
  <c r="AG124" i="6"/>
  <c r="AD125" i="6"/>
  <c r="AE125" i="6"/>
  <c r="AF125" i="6"/>
  <c r="AG125" i="6"/>
  <c r="AD126" i="6"/>
  <c r="AE126" i="6"/>
  <c r="AF126" i="6"/>
  <c r="AG126" i="6"/>
  <c r="AD127" i="6"/>
  <c r="AE127" i="6"/>
  <c r="AF127" i="6"/>
  <c r="AG127" i="6"/>
  <c r="AD128" i="6"/>
  <c r="AE128" i="6"/>
  <c r="AF128" i="6"/>
  <c r="AG128" i="6"/>
  <c r="AD129" i="6"/>
  <c r="AE129" i="6"/>
  <c r="AF129" i="6"/>
  <c r="AG129" i="6"/>
  <c r="AD130" i="6"/>
  <c r="AE130" i="6"/>
  <c r="AF130" i="6"/>
  <c r="AG130" i="6"/>
  <c r="AD131" i="6"/>
  <c r="AE131" i="6"/>
  <c r="AF131" i="6"/>
  <c r="AG131" i="6"/>
  <c r="AD132" i="6"/>
  <c r="AE132" i="6"/>
  <c r="AF132" i="6"/>
  <c r="AG132" i="6"/>
  <c r="AD133" i="6"/>
  <c r="AE133" i="6"/>
  <c r="AF133" i="6"/>
  <c r="AG133" i="6"/>
  <c r="AD134" i="6"/>
  <c r="AE134" i="6"/>
  <c r="AF134" i="6"/>
  <c r="AG134" i="6"/>
  <c r="AD135" i="6"/>
  <c r="AE135" i="6"/>
  <c r="AF135" i="6"/>
  <c r="AG135" i="6"/>
  <c r="AD136" i="6"/>
  <c r="AE136" i="6"/>
  <c r="AF136" i="6"/>
  <c r="AG136" i="6"/>
  <c r="AD137" i="6"/>
  <c r="AE137" i="6"/>
  <c r="AF137" i="6"/>
  <c r="AG137" i="6"/>
  <c r="AD138" i="6"/>
  <c r="AE138" i="6"/>
  <c r="AF138" i="6"/>
  <c r="AG138" i="6"/>
  <c r="AD139" i="6"/>
  <c r="AE139" i="6"/>
  <c r="AF139" i="6"/>
  <c r="AG139" i="6"/>
  <c r="AD140" i="6"/>
  <c r="AE140" i="6"/>
  <c r="AF140" i="6"/>
  <c r="AG140" i="6"/>
  <c r="AD141" i="6"/>
  <c r="AE141" i="6"/>
  <c r="AF141" i="6"/>
  <c r="AG141" i="6"/>
  <c r="AD142" i="6"/>
  <c r="AE142" i="6"/>
  <c r="AF142" i="6"/>
  <c r="AG142" i="6"/>
  <c r="AD143" i="6"/>
  <c r="AE143" i="6"/>
  <c r="AF143" i="6"/>
  <c r="AG143" i="6"/>
  <c r="AD144" i="6"/>
  <c r="AE144" i="6"/>
  <c r="AF144" i="6"/>
  <c r="AG144" i="6"/>
  <c r="AD145" i="6"/>
  <c r="AE145" i="6"/>
  <c r="AF145" i="6"/>
  <c r="AG145" i="6"/>
  <c r="AD146" i="6"/>
  <c r="AE146" i="6"/>
  <c r="AF146" i="6"/>
  <c r="AG146" i="6"/>
  <c r="AD147" i="6"/>
  <c r="AE147" i="6"/>
  <c r="AF147" i="6"/>
  <c r="AG147" i="6"/>
  <c r="AD148" i="6"/>
  <c r="AE148" i="6"/>
  <c r="AF148" i="6"/>
  <c r="AG148" i="6"/>
  <c r="AD149" i="6"/>
  <c r="AE149" i="6"/>
  <c r="AF149" i="6"/>
  <c r="AG149" i="6"/>
  <c r="AD150" i="6"/>
  <c r="AE150" i="6"/>
  <c r="AF150" i="6"/>
  <c r="AG150" i="6"/>
  <c r="AD151" i="6"/>
  <c r="AE151" i="6"/>
  <c r="AF151" i="6"/>
  <c r="AG151" i="6"/>
  <c r="AD152" i="6"/>
  <c r="AE152" i="6"/>
  <c r="AF152" i="6"/>
  <c r="AG152" i="6"/>
  <c r="AD153" i="6"/>
  <c r="AE153" i="6"/>
  <c r="AF153" i="6"/>
  <c r="AG153" i="6"/>
  <c r="AD154" i="6"/>
  <c r="AE154" i="6"/>
  <c r="AF154" i="6"/>
  <c r="AG154" i="6"/>
  <c r="AD155" i="6"/>
  <c r="AE155" i="6"/>
  <c r="AF155" i="6"/>
  <c r="AG155" i="6"/>
  <c r="AD156" i="6"/>
  <c r="AE156" i="6"/>
  <c r="AF156" i="6"/>
  <c r="AG156" i="6"/>
  <c r="AD157" i="6"/>
  <c r="AE157" i="6"/>
  <c r="AF157" i="6"/>
  <c r="AG157" i="6"/>
  <c r="AD158" i="6"/>
  <c r="AE158" i="6"/>
  <c r="AF158" i="6"/>
  <c r="AG158" i="6"/>
  <c r="AD159" i="6"/>
  <c r="AE159" i="6"/>
  <c r="AF159" i="6"/>
  <c r="AG159" i="6"/>
  <c r="AD160" i="6"/>
  <c r="AE160" i="6"/>
  <c r="AF160" i="6"/>
  <c r="AG160" i="6"/>
  <c r="AD161" i="6"/>
  <c r="AE161" i="6"/>
  <c r="AF161" i="6"/>
  <c r="AG161" i="6"/>
  <c r="AD162" i="6"/>
  <c r="AE162" i="6"/>
  <c r="AF162" i="6"/>
  <c r="AG162" i="6"/>
  <c r="AD163" i="6"/>
  <c r="AE163" i="6"/>
  <c r="AF163" i="6"/>
  <c r="AG163" i="6"/>
  <c r="AD164" i="6"/>
  <c r="AE164" i="6"/>
  <c r="AF164" i="6"/>
  <c r="AG164" i="6"/>
  <c r="AD165" i="6"/>
  <c r="AE165" i="6"/>
  <c r="AF165" i="6"/>
  <c r="AG165" i="6"/>
  <c r="AD166" i="6"/>
  <c r="AE166" i="6"/>
  <c r="AF166" i="6"/>
  <c r="AG166" i="6"/>
  <c r="AD167" i="6"/>
  <c r="AE167" i="6"/>
  <c r="AF167" i="6"/>
  <c r="AG167" i="6"/>
  <c r="AD168" i="6"/>
  <c r="AE168" i="6"/>
  <c r="AF168" i="6"/>
  <c r="AG168" i="6"/>
  <c r="AD169" i="6"/>
  <c r="AE169" i="6"/>
  <c r="AF169" i="6"/>
  <c r="AG169" i="6"/>
  <c r="AD170" i="6"/>
  <c r="AE170" i="6"/>
  <c r="AF170" i="6"/>
  <c r="AG170" i="6"/>
  <c r="AD171" i="6"/>
  <c r="AE171" i="6"/>
  <c r="AF171" i="6"/>
  <c r="AG171" i="6"/>
  <c r="AD172" i="6"/>
  <c r="AE172" i="6"/>
  <c r="AF172" i="6"/>
  <c r="AG172" i="6"/>
  <c r="AD173" i="6"/>
  <c r="AE173" i="6"/>
  <c r="AF173" i="6"/>
  <c r="AG173" i="6"/>
  <c r="AD174" i="6"/>
  <c r="AE174" i="6"/>
  <c r="AF174" i="6"/>
  <c r="AG174" i="6"/>
  <c r="AD175" i="6"/>
  <c r="AE175" i="6"/>
  <c r="AF175" i="6"/>
  <c r="AG175" i="6"/>
  <c r="AD176" i="6"/>
  <c r="AE176" i="6"/>
  <c r="AF176" i="6"/>
  <c r="AG176" i="6"/>
  <c r="AD177" i="6"/>
  <c r="AE177" i="6"/>
  <c r="AF177" i="6"/>
  <c r="AG177" i="6"/>
  <c r="AD178" i="6"/>
  <c r="AE178" i="6"/>
  <c r="AF178" i="6"/>
  <c r="AG178" i="6"/>
  <c r="AD179" i="6"/>
  <c r="AE179" i="6"/>
  <c r="AF179" i="6"/>
  <c r="AG179" i="6"/>
  <c r="AD180" i="6"/>
  <c r="AE180" i="6"/>
  <c r="AF180" i="6"/>
  <c r="AG180" i="6"/>
  <c r="AD181" i="6"/>
  <c r="AE181" i="6"/>
  <c r="AF181" i="6"/>
  <c r="AG181" i="6"/>
  <c r="AD182" i="6"/>
  <c r="AE182" i="6"/>
  <c r="AF182" i="6"/>
  <c r="AG182" i="6"/>
  <c r="AD183" i="6"/>
  <c r="AE183" i="6"/>
  <c r="AF183" i="6"/>
  <c r="AG183" i="6"/>
  <c r="AD184" i="6"/>
  <c r="AE184" i="6"/>
  <c r="AF184" i="6"/>
  <c r="AG184" i="6"/>
  <c r="AD185" i="6"/>
  <c r="AE185" i="6"/>
  <c r="AF185" i="6"/>
  <c r="AG185" i="6"/>
  <c r="AD186" i="6"/>
  <c r="AE186" i="6"/>
  <c r="AF186" i="6"/>
  <c r="AG186" i="6"/>
  <c r="AD187" i="6"/>
  <c r="AE187" i="6"/>
  <c r="AF187" i="6"/>
  <c r="AG187" i="6"/>
  <c r="AD188" i="6"/>
  <c r="AE188" i="6"/>
  <c r="AF188" i="6"/>
  <c r="AG188" i="6"/>
  <c r="AD189" i="6"/>
  <c r="AE189" i="6"/>
  <c r="AF189" i="6"/>
  <c r="AG189" i="6"/>
  <c r="AD190" i="6"/>
  <c r="AE190" i="6"/>
  <c r="AF190" i="6"/>
  <c r="AG190" i="6"/>
  <c r="AD191" i="6"/>
  <c r="AE191" i="6"/>
  <c r="AF191" i="6"/>
  <c r="AG191" i="6"/>
  <c r="AD192" i="6"/>
  <c r="AE192" i="6"/>
  <c r="AF192" i="6"/>
  <c r="AG192" i="6"/>
  <c r="AD193" i="6"/>
  <c r="AE193" i="6"/>
  <c r="AF193" i="6"/>
  <c r="AG193" i="6"/>
  <c r="AD194" i="6"/>
  <c r="AE194" i="6"/>
  <c r="AF194" i="6"/>
  <c r="AG194" i="6"/>
  <c r="AD195" i="6"/>
  <c r="AE195" i="6"/>
  <c r="AF195" i="6"/>
  <c r="AG195" i="6"/>
  <c r="AD196" i="6"/>
  <c r="AE196" i="6"/>
  <c r="AF196" i="6"/>
  <c r="AG196" i="6"/>
  <c r="AD197" i="6"/>
  <c r="AE197" i="6"/>
  <c r="AF197" i="6"/>
  <c r="AG197" i="6"/>
  <c r="AD198" i="6"/>
  <c r="AE198" i="6"/>
  <c r="AF198" i="6"/>
  <c r="AG198" i="6"/>
  <c r="AD199" i="6"/>
  <c r="AE199" i="6"/>
  <c r="AF199" i="6"/>
  <c r="AG199" i="6"/>
  <c r="AD200" i="6"/>
  <c r="AE200" i="6"/>
  <c r="AF200" i="6"/>
  <c r="AG200" i="6"/>
  <c r="AD201" i="6"/>
  <c r="AE201" i="6"/>
  <c r="AF201" i="6"/>
  <c r="AG201" i="6"/>
  <c r="AD202" i="6"/>
  <c r="AE202" i="6"/>
  <c r="AF202" i="6"/>
  <c r="AG202" i="6"/>
  <c r="AD203" i="6"/>
  <c r="AE203" i="6"/>
  <c r="AF203" i="6"/>
  <c r="AG203" i="6"/>
  <c r="AD204" i="6"/>
  <c r="AE204" i="6"/>
  <c r="AF204" i="6"/>
  <c r="AG204" i="6"/>
  <c r="AD205" i="6"/>
  <c r="AE205" i="6"/>
  <c r="AF205" i="6"/>
  <c r="AG205" i="6"/>
  <c r="AD206" i="6"/>
  <c r="AE206" i="6"/>
  <c r="AF206" i="6"/>
  <c r="AG206" i="6"/>
  <c r="AD207" i="6"/>
  <c r="AE207" i="6"/>
  <c r="AF207" i="6"/>
  <c r="AG207" i="6"/>
  <c r="AD208" i="6"/>
  <c r="AE208" i="6"/>
  <c r="AF208" i="6"/>
  <c r="AG208" i="6"/>
  <c r="AD209" i="6"/>
  <c r="AE209" i="6"/>
  <c r="AF209" i="6"/>
  <c r="AG209" i="6"/>
  <c r="AD210" i="6"/>
  <c r="AE210" i="6"/>
  <c r="AF210" i="6"/>
  <c r="AG210" i="6"/>
  <c r="AD211" i="6"/>
  <c r="AE211" i="6"/>
  <c r="AF211" i="6"/>
  <c r="AG211" i="6"/>
  <c r="AD212" i="6"/>
  <c r="AE212" i="6"/>
  <c r="AF212" i="6"/>
  <c r="AG212" i="6"/>
  <c r="AD213" i="6"/>
  <c r="AE213" i="6"/>
  <c r="AF213" i="6"/>
  <c r="AG213" i="6"/>
  <c r="AD214" i="6"/>
  <c r="AE214" i="6"/>
  <c r="AF214" i="6"/>
  <c r="AG214" i="6"/>
  <c r="AD215" i="6"/>
  <c r="AE215" i="6"/>
  <c r="AF215" i="6"/>
  <c r="AG215" i="6"/>
  <c r="AD216" i="6"/>
  <c r="AE216" i="6"/>
  <c r="AF216" i="6"/>
  <c r="AG216" i="6"/>
  <c r="AD217" i="6"/>
  <c r="AE217" i="6"/>
  <c r="AF217" i="6"/>
  <c r="AG217" i="6"/>
  <c r="AD218" i="6"/>
  <c r="AE218" i="6"/>
  <c r="AF218" i="6"/>
  <c r="AG218" i="6"/>
  <c r="AD219" i="6"/>
  <c r="AE219" i="6"/>
  <c r="AF219" i="6"/>
  <c r="AG219" i="6"/>
  <c r="AD220" i="6"/>
  <c r="AE220" i="6"/>
  <c r="AF220" i="6"/>
  <c r="AG220" i="6"/>
  <c r="AD221" i="6"/>
  <c r="AE221" i="6"/>
  <c r="AF221" i="6"/>
  <c r="AG221" i="6"/>
  <c r="AD222" i="6"/>
  <c r="AE222" i="6"/>
  <c r="AF222" i="6"/>
  <c r="AG222" i="6"/>
  <c r="AD223" i="6"/>
  <c r="AE223" i="6"/>
  <c r="AF223" i="6"/>
  <c r="AG223" i="6"/>
  <c r="AD224" i="6"/>
  <c r="AE224" i="6"/>
  <c r="AF224" i="6"/>
  <c r="AG224" i="6"/>
  <c r="AD225" i="6"/>
  <c r="AE225" i="6"/>
  <c r="AF225" i="6"/>
  <c r="AG225" i="6"/>
  <c r="AD226" i="6"/>
  <c r="AE226" i="6"/>
  <c r="AF226" i="6"/>
  <c r="AG226" i="6"/>
  <c r="AD227" i="6"/>
  <c r="AE227" i="6"/>
  <c r="AF227" i="6"/>
  <c r="AG227" i="6"/>
  <c r="AD228" i="6"/>
  <c r="AE228" i="6"/>
  <c r="AF228" i="6"/>
  <c r="AG228" i="6"/>
  <c r="AD229" i="6"/>
  <c r="AE229" i="6"/>
  <c r="AF229" i="6"/>
  <c r="AG229" i="6"/>
  <c r="AD230" i="6"/>
  <c r="AE230" i="6"/>
  <c r="AF230" i="6"/>
  <c r="AG230" i="6"/>
  <c r="AD231" i="6"/>
  <c r="AE231" i="6"/>
  <c r="AF231" i="6"/>
  <c r="AG231" i="6"/>
  <c r="AD232" i="6"/>
  <c r="AE232" i="6"/>
  <c r="AF232" i="6"/>
  <c r="AG232" i="6"/>
  <c r="AD233" i="6"/>
  <c r="AE233" i="6"/>
  <c r="AF233" i="6"/>
  <c r="AG233" i="6"/>
  <c r="AD234" i="6"/>
  <c r="AE234" i="6"/>
  <c r="AF234" i="6"/>
  <c r="AG234" i="6"/>
  <c r="AD235" i="6"/>
  <c r="AE235" i="6"/>
  <c r="AF235" i="6"/>
  <c r="AG235" i="6"/>
  <c r="AD236" i="6"/>
  <c r="AE236" i="6"/>
  <c r="AF236" i="6"/>
  <c r="AG236" i="6"/>
  <c r="AD237" i="6"/>
  <c r="AE237" i="6"/>
  <c r="AF237" i="6"/>
  <c r="AG237" i="6"/>
  <c r="AD238" i="6"/>
  <c r="AE238" i="6"/>
  <c r="AF238" i="6"/>
  <c r="AG238" i="6"/>
  <c r="AD239" i="6"/>
  <c r="AE239" i="6"/>
  <c r="AF239" i="6"/>
  <c r="AG239" i="6"/>
  <c r="AD240" i="6"/>
  <c r="AE240" i="6"/>
  <c r="AF240" i="6"/>
  <c r="AG240" i="6"/>
  <c r="AD241" i="6"/>
  <c r="AE241" i="6"/>
  <c r="AF241" i="6"/>
  <c r="AG241" i="6"/>
  <c r="AD242" i="6"/>
  <c r="AE242" i="6"/>
  <c r="AF242" i="6"/>
  <c r="AG242" i="6"/>
  <c r="AD243" i="6"/>
  <c r="AE243" i="6"/>
  <c r="AF243" i="6"/>
  <c r="AG243" i="6"/>
  <c r="AD244" i="6"/>
  <c r="AE244" i="6"/>
  <c r="AF244" i="6"/>
  <c r="AG244" i="6"/>
  <c r="AD245" i="6"/>
  <c r="AE245" i="6"/>
  <c r="AF245" i="6"/>
  <c r="AG245" i="6"/>
  <c r="AD246" i="6"/>
  <c r="AE246" i="6"/>
  <c r="AF246" i="6"/>
  <c r="AG246" i="6"/>
  <c r="AD247" i="6"/>
  <c r="AE247" i="6"/>
  <c r="AF247" i="6"/>
  <c r="AG247" i="6"/>
  <c r="AD248" i="6"/>
  <c r="AE248" i="6"/>
  <c r="AF248" i="6"/>
  <c r="AG248" i="6"/>
  <c r="AD249" i="6"/>
  <c r="AE249" i="6"/>
  <c r="AF249" i="6"/>
  <c r="AG249" i="6"/>
  <c r="AD250" i="6"/>
  <c r="AE250" i="6"/>
  <c r="AF250" i="6"/>
  <c r="AG250" i="6"/>
  <c r="AD251" i="6"/>
  <c r="AE251" i="6"/>
  <c r="AF251" i="6"/>
  <c r="AG251" i="6"/>
  <c r="AD252" i="6"/>
  <c r="AE252" i="6"/>
  <c r="AF252" i="6"/>
  <c r="AG252" i="6"/>
  <c r="AD253" i="6"/>
  <c r="AE253" i="6"/>
  <c r="AF253" i="6"/>
  <c r="AG253" i="6"/>
  <c r="AD254" i="6"/>
  <c r="AE254" i="6"/>
  <c r="AF254" i="6"/>
  <c r="AG254" i="6"/>
  <c r="AD255" i="6"/>
  <c r="AE255" i="6"/>
  <c r="AF255" i="6"/>
  <c r="AG255" i="6"/>
  <c r="AD256" i="6"/>
  <c r="AE256" i="6"/>
  <c r="AF256" i="6"/>
  <c r="AG256" i="6"/>
  <c r="AD257" i="6"/>
  <c r="AE257" i="6"/>
  <c r="AF257" i="6"/>
  <c r="AG257" i="6"/>
  <c r="AD258" i="6"/>
  <c r="AE258" i="6"/>
  <c r="AF258" i="6"/>
  <c r="AG258" i="6"/>
  <c r="AD259" i="6"/>
  <c r="AE259" i="6"/>
  <c r="AF259" i="6"/>
  <c r="AG259" i="6"/>
  <c r="AD260" i="6"/>
  <c r="AE260" i="6"/>
  <c r="AF260" i="6"/>
  <c r="AG260" i="6"/>
  <c r="AD261" i="6"/>
  <c r="AE261" i="6"/>
  <c r="AF261" i="6"/>
  <c r="AG261" i="6"/>
  <c r="AD262" i="6"/>
  <c r="AE262" i="6"/>
  <c r="AF262" i="6"/>
  <c r="AG262" i="6"/>
  <c r="AD263" i="6"/>
  <c r="AE263" i="6"/>
  <c r="AF263" i="6"/>
  <c r="AG263" i="6"/>
  <c r="AD264" i="6"/>
  <c r="AE264" i="6"/>
  <c r="AF264" i="6"/>
  <c r="AG264" i="6"/>
  <c r="AD265" i="6"/>
  <c r="AE265" i="6"/>
  <c r="AF265" i="6"/>
  <c r="AG265" i="6"/>
  <c r="AD266" i="6"/>
  <c r="AE266" i="6"/>
  <c r="AF266" i="6"/>
  <c r="AG266" i="6"/>
  <c r="AD267" i="6"/>
  <c r="AE267" i="6"/>
  <c r="AF267" i="6"/>
  <c r="AG267" i="6"/>
  <c r="AD268" i="6"/>
  <c r="AE268" i="6"/>
  <c r="AF268" i="6"/>
  <c r="AG268" i="6"/>
  <c r="AD269" i="6"/>
  <c r="AE269" i="6"/>
  <c r="AF269" i="6"/>
  <c r="AG269" i="6"/>
  <c r="AD270" i="6"/>
  <c r="AE270" i="6"/>
  <c r="AF270" i="6"/>
  <c r="AG270" i="6"/>
  <c r="AD271" i="6"/>
  <c r="AE271" i="6"/>
  <c r="AF271" i="6"/>
  <c r="AG271" i="6"/>
  <c r="AD272" i="6"/>
  <c r="AE272" i="6"/>
  <c r="AF272" i="6"/>
  <c r="AG272" i="6"/>
  <c r="AD273" i="6"/>
  <c r="AE273" i="6"/>
  <c r="AF273" i="6"/>
  <c r="AG273" i="6"/>
  <c r="AD274" i="6"/>
  <c r="AE274" i="6"/>
  <c r="AF274" i="6"/>
  <c r="AG274" i="6"/>
  <c r="AD275" i="6"/>
  <c r="AE275" i="6"/>
  <c r="AF275" i="6"/>
  <c r="AG275" i="6"/>
  <c r="AD276" i="6"/>
  <c r="AE276" i="6"/>
  <c r="AF276" i="6"/>
  <c r="AG276" i="6"/>
  <c r="AD277" i="6"/>
  <c r="AE277" i="6"/>
  <c r="AF277" i="6"/>
  <c r="AG277" i="6"/>
  <c r="AD278" i="6"/>
  <c r="AE278" i="6"/>
  <c r="AF278" i="6"/>
  <c r="AG278" i="6"/>
  <c r="AD279" i="6"/>
  <c r="AE279" i="6"/>
  <c r="AF279" i="6"/>
  <c r="AG279" i="6"/>
  <c r="AD280" i="6"/>
  <c r="AE280" i="6"/>
  <c r="AF280" i="6"/>
  <c r="AG280" i="6"/>
  <c r="AD281" i="6"/>
  <c r="AE281" i="6"/>
  <c r="AF281" i="6"/>
  <c r="AG281" i="6"/>
  <c r="AD282" i="6"/>
  <c r="AE282" i="6"/>
  <c r="AF282" i="6"/>
  <c r="AG282" i="6"/>
  <c r="AD283" i="6"/>
  <c r="AE283" i="6"/>
  <c r="AF283" i="6"/>
  <c r="AG283" i="6"/>
  <c r="AD284" i="6"/>
  <c r="AE284" i="6"/>
  <c r="AF284" i="6"/>
  <c r="AG284" i="6"/>
  <c r="AD285" i="6"/>
  <c r="AE285" i="6"/>
  <c r="AF285" i="6"/>
  <c r="AG285" i="6"/>
  <c r="AD286" i="6"/>
  <c r="AE286" i="6"/>
  <c r="AF286" i="6"/>
  <c r="AG286" i="6"/>
  <c r="AD287" i="6"/>
  <c r="AE287" i="6"/>
  <c r="AF287" i="6"/>
  <c r="AG287" i="6"/>
  <c r="AD288" i="6"/>
  <c r="AE288" i="6"/>
  <c r="AF288" i="6"/>
  <c r="AG288" i="6"/>
  <c r="AD289" i="6"/>
  <c r="AE289" i="6"/>
  <c r="AF289" i="6"/>
  <c r="AG289" i="6"/>
  <c r="AD290" i="6"/>
  <c r="AE290" i="6"/>
  <c r="AF290" i="6"/>
  <c r="AG290" i="6"/>
  <c r="AD291" i="6"/>
  <c r="AE291" i="6"/>
  <c r="AF291" i="6"/>
  <c r="AG291" i="6"/>
  <c r="AD292" i="6"/>
  <c r="AE292" i="6"/>
  <c r="AF292" i="6"/>
  <c r="AG292" i="6"/>
  <c r="AD293" i="6"/>
  <c r="AE293" i="6"/>
  <c r="AF293" i="6"/>
  <c r="AG293" i="6"/>
  <c r="AD294" i="6"/>
  <c r="AE294" i="6"/>
  <c r="AF294" i="6"/>
  <c r="AG294" i="6"/>
  <c r="AD295" i="6"/>
  <c r="AE295" i="6"/>
  <c r="AF295" i="6"/>
  <c r="AG295" i="6"/>
  <c r="AD296" i="6"/>
  <c r="AE296" i="6"/>
  <c r="AF296" i="6"/>
  <c r="AG296" i="6"/>
  <c r="AD297" i="6"/>
  <c r="AE297" i="6"/>
  <c r="AF297" i="6"/>
  <c r="AG297" i="6"/>
  <c r="AD298" i="6"/>
  <c r="AE298" i="6"/>
  <c r="AF298" i="6"/>
  <c r="AG298" i="6"/>
  <c r="AD299" i="6"/>
  <c r="AE299" i="6"/>
  <c r="AF299" i="6"/>
  <c r="AG299" i="6"/>
  <c r="AD300" i="6"/>
  <c r="AE300" i="6"/>
  <c r="AF300" i="6"/>
  <c r="AG300" i="6"/>
  <c r="AD301" i="6"/>
  <c r="AE301" i="6"/>
  <c r="AF301" i="6"/>
  <c r="AG301" i="6"/>
  <c r="AD302" i="6"/>
  <c r="AE302" i="6"/>
  <c r="AF302" i="6"/>
  <c r="AG302" i="6"/>
  <c r="AD303" i="6"/>
  <c r="AE303" i="6"/>
  <c r="AF303" i="6"/>
  <c r="AG303" i="6"/>
  <c r="AD304" i="6"/>
  <c r="AE304" i="6"/>
  <c r="AF304" i="6"/>
  <c r="AG304" i="6"/>
  <c r="AD305" i="6"/>
  <c r="AE305" i="6"/>
  <c r="AF305" i="6"/>
  <c r="AG305" i="6"/>
  <c r="AD306" i="6"/>
  <c r="AE306" i="6"/>
  <c r="AF306" i="6"/>
  <c r="AG306" i="6"/>
  <c r="AD307" i="6"/>
  <c r="AE307" i="6"/>
  <c r="AF307" i="6"/>
  <c r="AG307" i="6"/>
  <c r="AD308" i="6"/>
  <c r="AE308" i="6"/>
  <c r="AF308" i="6"/>
  <c r="AG308" i="6"/>
  <c r="AD309" i="6"/>
  <c r="AE309" i="6"/>
  <c r="AF309" i="6"/>
  <c r="AG309" i="6"/>
  <c r="AD310" i="6"/>
  <c r="AE310" i="6"/>
  <c r="AF310" i="6"/>
  <c r="AG310" i="6"/>
  <c r="AD311" i="6"/>
  <c r="AE311" i="6"/>
  <c r="AF311" i="6"/>
  <c r="AG311" i="6"/>
  <c r="AD312" i="6"/>
  <c r="AE312" i="6"/>
  <c r="AF312" i="6"/>
  <c r="AG312" i="6"/>
  <c r="AD313" i="6"/>
  <c r="AE313" i="6"/>
  <c r="AF313" i="6"/>
  <c r="AG313" i="6"/>
  <c r="AD314" i="6"/>
  <c r="AE314" i="6"/>
  <c r="AF314" i="6"/>
  <c r="AG314" i="6"/>
  <c r="AD315" i="6"/>
  <c r="AE315" i="6"/>
  <c r="AF315" i="6"/>
  <c r="AG315" i="6"/>
  <c r="AD316" i="6"/>
  <c r="AE316" i="6"/>
  <c r="AF316" i="6"/>
  <c r="AG316" i="6"/>
  <c r="AD317" i="6"/>
  <c r="AE317" i="6"/>
  <c r="AF317" i="6"/>
  <c r="AG317" i="6"/>
  <c r="AD318" i="6"/>
  <c r="AE318" i="6"/>
  <c r="AF318" i="6"/>
  <c r="AG318" i="6"/>
  <c r="AD319" i="6"/>
  <c r="AE319" i="6"/>
  <c r="AF319" i="6"/>
  <c r="AG319" i="6"/>
  <c r="AD320" i="6"/>
  <c r="AE320" i="6"/>
  <c r="AF320" i="6"/>
  <c r="AG320" i="6"/>
  <c r="AD321" i="6"/>
  <c r="AE321" i="6"/>
  <c r="AF321" i="6"/>
  <c r="AG321" i="6"/>
  <c r="AD322" i="6"/>
  <c r="AE322" i="6"/>
  <c r="AF322" i="6"/>
  <c r="AG322" i="6"/>
  <c r="AD323" i="6"/>
  <c r="AE323" i="6"/>
  <c r="AF323" i="6"/>
  <c r="AG323" i="6"/>
  <c r="AD324" i="6"/>
  <c r="AE324" i="6"/>
  <c r="AF324" i="6"/>
  <c r="AG324" i="6"/>
  <c r="AD325" i="6"/>
  <c r="AE325" i="6"/>
  <c r="AF325" i="6"/>
  <c r="AG325" i="6"/>
  <c r="AD326" i="6"/>
  <c r="AE326" i="6"/>
  <c r="AF326" i="6"/>
  <c r="AG326" i="6"/>
  <c r="AD327" i="6"/>
  <c r="AE327" i="6"/>
  <c r="AF327" i="6"/>
  <c r="AG327" i="6"/>
  <c r="AD328" i="6"/>
  <c r="AE328" i="6"/>
  <c r="AF328" i="6"/>
  <c r="AG328" i="6"/>
  <c r="AD329" i="6"/>
  <c r="AE329" i="6"/>
  <c r="AF329" i="6"/>
  <c r="AG329" i="6"/>
  <c r="AD330" i="6"/>
  <c r="AE330" i="6"/>
  <c r="AF330" i="6"/>
  <c r="AG330" i="6"/>
  <c r="AD331" i="6"/>
  <c r="AE331" i="6"/>
  <c r="AF331" i="6"/>
  <c r="AG331" i="6"/>
  <c r="AD332" i="6"/>
  <c r="AE332" i="6"/>
  <c r="AF332" i="6"/>
  <c r="AG332" i="6"/>
  <c r="AD333" i="6"/>
  <c r="AE333" i="6"/>
  <c r="AF333" i="6"/>
  <c r="AG333" i="6"/>
  <c r="AD334" i="6"/>
  <c r="AE334" i="6"/>
  <c r="AF334" i="6"/>
  <c r="AG334" i="6"/>
  <c r="AD335" i="6"/>
  <c r="AE335" i="6"/>
  <c r="AF335" i="6"/>
  <c r="AG335" i="6"/>
  <c r="AD336" i="6"/>
  <c r="AE336" i="6"/>
  <c r="AF336" i="6"/>
  <c r="AG336" i="6"/>
  <c r="AD337" i="6"/>
  <c r="AE337" i="6"/>
  <c r="AF337" i="6"/>
  <c r="AG337" i="6"/>
  <c r="AD338" i="6"/>
  <c r="AE338" i="6"/>
  <c r="AF338" i="6"/>
  <c r="AG338" i="6"/>
  <c r="AD339" i="6"/>
  <c r="AE339" i="6"/>
  <c r="AF339" i="6"/>
  <c r="AG339" i="6"/>
  <c r="AD340" i="6"/>
  <c r="AE340" i="6"/>
  <c r="AF340" i="6"/>
  <c r="AG340" i="6"/>
  <c r="AD341" i="6"/>
  <c r="AE341" i="6"/>
  <c r="AF341" i="6"/>
  <c r="AG341" i="6"/>
  <c r="AD342" i="6"/>
  <c r="AE342" i="6"/>
  <c r="AF342" i="6"/>
  <c r="AG342" i="6"/>
  <c r="AD343" i="6"/>
  <c r="AE343" i="6"/>
  <c r="AF343" i="6"/>
  <c r="AG343" i="6"/>
  <c r="AD344" i="6"/>
  <c r="AE344" i="6"/>
  <c r="AF344" i="6"/>
  <c r="AG344" i="6"/>
  <c r="AD345" i="6"/>
  <c r="AE345" i="6"/>
  <c r="AF345" i="6"/>
  <c r="AG345" i="6"/>
  <c r="AD346" i="6"/>
  <c r="AE346" i="6"/>
  <c r="AF346" i="6"/>
  <c r="AG346" i="6"/>
  <c r="AD347" i="6"/>
  <c r="AE347" i="6"/>
  <c r="AF347" i="6"/>
  <c r="AG347" i="6"/>
  <c r="AD348" i="6"/>
  <c r="AE348" i="6"/>
  <c r="AF348" i="6"/>
  <c r="AG348" i="6"/>
  <c r="AD349" i="6"/>
  <c r="AE349" i="6"/>
  <c r="AF349" i="6"/>
  <c r="AG349" i="6"/>
  <c r="AD350" i="6"/>
  <c r="AE350" i="6"/>
  <c r="AF350" i="6"/>
  <c r="AG350" i="6"/>
  <c r="AD351" i="6"/>
  <c r="AE351" i="6"/>
  <c r="AF351" i="6"/>
  <c r="AG351" i="6"/>
  <c r="AD352" i="6"/>
  <c r="AE352" i="6"/>
  <c r="AF352" i="6"/>
  <c r="AG352" i="6"/>
  <c r="AD353" i="6"/>
  <c r="AE353" i="6"/>
  <c r="AF353" i="6"/>
  <c r="AG353" i="6"/>
  <c r="AD354" i="6"/>
  <c r="AE354" i="6"/>
  <c r="AF354" i="6"/>
  <c r="AG354" i="6"/>
  <c r="AD355" i="6"/>
  <c r="AE355" i="6"/>
  <c r="AF355" i="6"/>
  <c r="AG355" i="6"/>
  <c r="AD356" i="6"/>
  <c r="AE356" i="6"/>
  <c r="AF356" i="6"/>
  <c r="AG356" i="6"/>
  <c r="AD357" i="6"/>
  <c r="AE357" i="6"/>
  <c r="AF357" i="6"/>
  <c r="AG357" i="6"/>
  <c r="AD358" i="6"/>
  <c r="AE358" i="6"/>
  <c r="AF358" i="6"/>
  <c r="AG358" i="6"/>
  <c r="AD359" i="6"/>
  <c r="AE359" i="6"/>
  <c r="AF359" i="6"/>
  <c r="AG359" i="6"/>
  <c r="AD360" i="6"/>
  <c r="AE360" i="6"/>
  <c r="AF360" i="6"/>
  <c r="AG360" i="6"/>
  <c r="AD361" i="6"/>
  <c r="AE361" i="6"/>
  <c r="AF361" i="6"/>
  <c r="AG361" i="6"/>
  <c r="AD362" i="6"/>
  <c r="AE362" i="6"/>
  <c r="AF362" i="6"/>
  <c r="AG362" i="6"/>
  <c r="AD363" i="6"/>
  <c r="AE363" i="6"/>
  <c r="AF363" i="6"/>
  <c r="AG363" i="6"/>
  <c r="AD364" i="6"/>
  <c r="AE364" i="6"/>
  <c r="AF364" i="6"/>
  <c r="AG364" i="6"/>
  <c r="AD365" i="6"/>
  <c r="AE365" i="6"/>
  <c r="AF365" i="6"/>
  <c r="AG365" i="6"/>
  <c r="AD366" i="6"/>
  <c r="AE366" i="6"/>
  <c r="AF366" i="6"/>
  <c r="AG366" i="6"/>
  <c r="AD367" i="6"/>
  <c r="AE367" i="6"/>
  <c r="AF367" i="6"/>
  <c r="AG367" i="6"/>
  <c r="AD368" i="6"/>
  <c r="AE368" i="6"/>
  <c r="AF368" i="6"/>
  <c r="AG368" i="6"/>
  <c r="AD369" i="6"/>
  <c r="AE369" i="6"/>
  <c r="AF369" i="6"/>
  <c r="AG369" i="6"/>
  <c r="AD370" i="6"/>
  <c r="AE370" i="6"/>
  <c r="AF370" i="6"/>
  <c r="AG370" i="6"/>
  <c r="AD371" i="6"/>
  <c r="AE371" i="6"/>
  <c r="AF371" i="6"/>
  <c r="AG371" i="6"/>
  <c r="AD372" i="6"/>
  <c r="AE372" i="6"/>
  <c r="AF372" i="6"/>
  <c r="AG372" i="6"/>
  <c r="AD373" i="6"/>
  <c r="AE373" i="6"/>
  <c r="AF373" i="6"/>
  <c r="AG373" i="6"/>
  <c r="AD374" i="6"/>
  <c r="AE374" i="6"/>
  <c r="AF374" i="6"/>
  <c r="AG374" i="6"/>
  <c r="AD375" i="6"/>
  <c r="AE375" i="6"/>
  <c r="AF375" i="6"/>
  <c r="AG375" i="6"/>
  <c r="AD376" i="6"/>
  <c r="AE376" i="6"/>
  <c r="AF376" i="6"/>
  <c r="AG376" i="6"/>
  <c r="AD377" i="6"/>
  <c r="AE377" i="6"/>
  <c r="AF377" i="6"/>
  <c r="AG377" i="6"/>
  <c r="AD378" i="6"/>
  <c r="AE378" i="6"/>
  <c r="AF378" i="6"/>
  <c r="AG378" i="6"/>
  <c r="AD379" i="6"/>
  <c r="AE379" i="6"/>
  <c r="AF379" i="6"/>
  <c r="AG379" i="6"/>
  <c r="AD380" i="6"/>
  <c r="AE380" i="6"/>
  <c r="AF380" i="6"/>
  <c r="AG380" i="6"/>
  <c r="AD381" i="6"/>
  <c r="AE381" i="6"/>
  <c r="AF381" i="6"/>
  <c r="AG381" i="6"/>
  <c r="AD382" i="6"/>
  <c r="AE382" i="6"/>
  <c r="AF382" i="6"/>
  <c r="AG382" i="6"/>
  <c r="AD383" i="6"/>
  <c r="AE383" i="6"/>
  <c r="AF383" i="6"/>
  <c r="AG383" i="6"/>
  <c r="AD384" i="6"/>
  <c r="AE384" i="6"/>
  <c r="AF384" i="6"/>
  <c r="AG384" i="6"/>
  <c r="AD385" i="6"/>
  <c r="AE385" i="6"/>
  <c r="AF385" i="6"/>
  <c r="AG385" i="6"/>
  <c r="AD386" i="6"/>
  <c r="AE386" i="6"/>
  <c r="AF386" i="6"/>
  <c r="AG386" i="6"/>
  <c r="AD387" i="6"/>
  <c r="AE387" i="6"/>
  <c r="AF387" i="6"/>
  <c r="AG387" i="6"/>
  <c r="AD388" i="6"/>
  <c r="AE388" i="6"/>
  <c r="AF388" i="6"/>
  <c r="AG388" i="6"/>
  <c r="AD389" i="6"/>
  <c r="AE389" i="6"/>
  <c r="AF389" i="6"/>
  <c r="AG389" i="6"/>
  <c r="AD390" i="6"/>
  <c r="AE390" i="6"/>
  <c r="AF390" i="6"/>
  <c r="AG390" i="6"/>
  <c r="AD391" i="6"/>
  <c r="AE391" i="6"/>
  <c r="AF391" i="6"/>
  <c r="AG391" i="6"/>
  <c r="AD392" i="6"/>
  <c r="AE392" i="6"/>
  <c r="AF392" i="6"/>
  <c r="AG392" i="6"/>
  <c r="AD393" i="6"/>
  <c r="AE393" i="6"/>
  <c r="AF393" i="6"/>
  <c r="AG393" i="6"/>
  <c r="AD394" i="6"/>
  <c r="AE394" i="6"/>
  <c r="AF394" i="6"/>
  <c r="AG394" i="6"/>
  <c r="AD395" i="6"/>
  <c r="AE395" i="6"/>
  <c r="AF395" i="6"/>
  <c r="AG395" i="6"/>
  <c r="AD396" i="6"/>
  <c r="AE396" i="6"/>
  <c r="AF396" i="6"/>
  <c r="AG396" i="6"/>
  <c r="AD397" i="6"/>
  <c r="AE397" i="6"/>
  <c r="AF397" i="6"/>
  <c r="AG397" i="6"/>
  <c r="AD398" i="6"/>
  <c r="AE398" i="6"/>
  <c r="AF398" i="6"/>
  <c r="AG398" i="6"/>
  <c r="AD399" i="6"/>
  <c r="AE399" i="6"/>
  <c r="AF399" i="6"/>
  <c r="AG399" i="6"/>
  <c r="AD400" i="6"/>
  <c r="AE400" i="6"/>
  <c r="AF400" i="6"/>
  <c r="AG400" i="6"/>
  <c r="AD401" i="6"/>
  <c r="AE401" i="6"/>
  <c r="AF401" i="6"/>
  <c r="AG401" i="6"/>
  <c r="AD402" i="6"/>
  <c r="AE402" i="6"/>
  <c r="AF402" i="6"/>
  <c r="AG402" i="6"/>
  <c r="AD403" i="6"/>
  <c r="AE403" i="6"/>
  <c r="AF403" i="6"/>
  <c r="AG403" i="6"/>
  <c r="AD404" i="6"/>
  <c r="AE404" i="6"/>
  <c r="AF404" i="6"/>
  <c r="AG404" i="6"/>
  <c r="AD405" i="6"/>
  <c r="AE405" i="6"/>
  <c r="AF405" i="6"/>
  <c r="AG405" i="6"/>
  <c r="AD406" i="6"/>
  <c r="AE406" i="6"/>
  <c r="AF406" i="6"/>
  <c r="AG406" i="6"/>
  <c r="AD407" i="6"/>
  <c r="AE407" i="6"/>
  <c r="AF407" i="6"/>
  <c r="AG407" i="6"/>
  <c r="AD408" i="6"/>
  <c r="AE408" i="6"/>
  <c r="AF408" i="6"/>
  <c r="AG408" i="6"/>
  <c r="AD409" i="6"/>
  <c r="AE409" i="6"/>
  <c r="AF409" i="6"/>
  <c r="AG409" i="6"/>
  <c r="AD410" i="6"/>
  <c r="AE410" i="6"/>
  <c r="AF410" i="6"/>
  <c r="AG410" i="6"/>
  <c r="AD411" i="6"/>
  <c r="AE411" i="6"/>
  <c r="AF411" i="6"/>
  <c r="AG411" i="6"/>
  <c r="AD412" i="6"/>
  <c r="AE412" i="6"/>
  <c r="AF412" i="6"/>
  <c r="AG412" i="6"/>
  <c r="AD413" i="6"/>
  <c r="AE413" i="6"/>
  <c r="AF413" i="6"/>
  <c r="AG413" i="6"/>
  <c r="AD414" i="6"/>
  <c r="AE414" i="6"/>
  <c r="AF414" i="6"/>
  <c r="AG414" i="6"/>
  <c r="AD415" i="6"/>
  <c r="AE415" i="6"/>
  <c r="AF415" i="6"/>
  <c r="AG415" i="6"/>
  <c r="AD416" i="6"/>
  <c r="AE416" i="6"/>
  <c r="AF416" i="6"/>
  <c r="AG416" i="6"/>
  <c r="AD417" i="6"/>
  <c r="AE417" i="6"/>
  <c r="AF417" i="6"/>
  <c r="AG417" i="6"/>
  <c r="AD418" i="6"/>
  <c r="AE418" i="6"/>
  <c r="AF418" i="6"/>
  <c r="AG418" i="6"/>
  <c r="AD419" i="6"/>
  <c r="AE419" i="6"/>
  <c r="AF419" i="6"/>
  <c r="AG419" i="6"/>
  <c r="AD420" i="6"/>
  <c r="AE420" i="6"/>
  <c r="AF420" i="6"/>
  <c r="AG420" i="6"/>
  <c r="AD421" i="6"/>
  <c r="AE421" i="6"/>
  <c r="AF421" i="6"/>
  <c r="AG421" i="6"/>
  <c r="AD422" i="6"/>
  <c r="AE422" i="6"/>
  <c r="AF422" i="6"/>
  <c r="AG422" i="6"/>
  <c r="AD423" i="6"/>
  <c r="AE423" i="6"/>
  <c r="AF423" i="6"/>
  <c r="AG423" i="6"/>
  <c r="AD424" i="6"/>
  <c r="AE424" i="6"/>
  <c r="AF424" i="6"/>
  <c r="AG424" i="6"/>
  <c r="AD425" i="6"/>
  <c r="AE425" i="6"/>
  <c r="AF425" i="6"/>
  <c r="AG425" i="6"/>
  <c r="AD426" i="6"/>
  <c r="AE426" i="6"/>
  <c r="AF426" i="6"/>
  <c r="AG426" i="6"/>
  <c r="AD427" i="6"/>
  <c r="AE427" i="6"/>
  <c r="AF427" i="6"/>
  <c r="AG427" i="6"/>
  <c r="AD428" i="6"/>
  <c r="AE428" i="6"/>
  <c r="AF428" i="6"/>
  <c r="AG428" i="6"/>
  <c r="AD429" i="6"/>
  <c r="AE429" i="6"/>
  <c r="AF429" i="6"/>
  <c r="AG429" i="6"/>
  <c r="AD430" i="6"/>
  <c r="AE430" i="6"/>
  <c r="AF430" i="6"/>
  <c r="AG430" i="6"/>
  <c r="AD431" i="6"/>
  <c r="AE431" i="6"/>
  <c r="AF431" i="6"/>
  <c r="AG431" i="6"/>
  <c r="AD432" i="6"/>
  <c r="AE432" i="6"/>
  <c r="AF432" i="6"/>
  <c r="AG432" i="6"/>
  <c r="AD433" i="6"/>
  <c r="AE433" i="6"/>
  <c r="AF433" i="6"/>
  <c r="AG433" i="6"/>
  <c r="AD434" i="6"/>
  <c r="AE434" i="6"/>
  <c r="AF434" i="6"/>
  <c r="AG434" i="6"/>
  <c r="AD435" i="6"/>
  <c r="AE435" i="6"/>
  <c r="AF435" i="6"/>
  <c r="AG435" i="6"/>
  <c r="AD436" i="6"/>
  <c r="AE436" i="6"/>
  <c r="AF436" i="6"/>
  <c r="AG436" i="6"/>
  <c r="AD437" i="6"/>
  <c r="AE437" i="6"/>
  <c r="AF437" i="6"/>
  <c r="AG437" i="6"/>
  <c r="AD438" i="6"/>
  <c r="AE438" i="6"/>
  <c r="AF438" i="6"/>
  <c r="AG438" i="6"/>
  <c r="AD439" i="6"/>
  <c r="AE439" i="6"/>
  <c r="AF439" i="6"/>
  <c r="AG439" i="6"/>
  <c r="AD440" i="6"/>
  <c r="AE440" i="6"/>
  <c r="AF440" i="6"/>
  <c r="AG440" i="6"/>
  <c r="AD441" i="6"/>
  <c r="AE441" i="6"/>
  <c r="AF441" i="6"/>
  <c r="AG441" i="6"/>
  <c r="AD442" i="6"/>
  <c r="AE442" i="6"/>
  <c r="AF442" i="6"/>
  <c r="AG442" i="6"/>
  <c r="AD443" i="6"/>
  <c r="AE443" i="6"/>
  <c r="AF443" i="6"/>
  <c r="AG443" i="6"/>
  <c r="AD444" i="6"/>
  <c r="AE444" i="6"/>
  <c r="AF444" i="6"/>
  <c r="AG444" i="6"/>
  <c r="AD445" i="6"/>
  <c r="AE445" i="6"/>
  <c r="AF445" i="6"/>
  <c r="AG445" i="6"/>
  <c r="AD446" i="6"/>
  <c r="AE446" i="6"/>
  <c r="AF446" i="6"/>
  <c r="AG446" i="6"/>
  <c r="AD447" i="6"/>
  <c r="AE447" i="6"/>
  <c r="AF447" i="6"/>
  <c r="AG447" i="6"/>
  <c r="AD448" i="6"/>
  <c r="AE448" i="6"/>
  <c r="AF448" i="6"/>
  <c r="AG448" i="6"/>
  <c r="AD449" i="6"/>
  <c r="AE449" i="6"/>
  <c r="AF449" i="6"/>
  <c r="AG449" i="6"/>
  <c r="AD450" i="6"/>
  <c r="AE450" i="6"/>
  <c r="AF450" i="6"/>
  <c r="AG450" i="6"/>
  <c r="AD451" i="6"/>
  <c r="AE451" i="6"/>
  <c r="AF451" i="6"/>
  <c r="AG451" i="6"/>
  <c r="AD452" i="6"/>
  <c r="AE452" i="6"/>
  <c r="AF452" i="6"/>
  <c r="AG452" i="6"/>
  <c r="AD453" i="6"/>
  <c r="AE453" i="6"/>
  <c r="AF453" i="6"/>
  <c r="AG453" i="6"/>
  <c r="AD454" i="6"/>
  <c r="AE454" i="6"/>
  <c r="AF454" i="6"/>
  <c r="AG454" i="6"/>
  <c r="AD455" i="6"/>
  <c r="AE455" i="6"/>
  <c r="AF455" i="6"/>
  <c r="AG455" i="6"/>
  <c r="AD456" i="6"/>
  <c r="AE456" i="6"/>
  <c r="AF456" i="6"/>
  <c r="AG456" i="6"/>
  <c r="AD457" i="6"/>
  <c r="AE457" i="6"/>
  <c r="AF457" i="6"/>
  <c r="AG457" i="6"/>
  <c r="AD458" i="6"/>
  <c r="AE458" i="6"/>
  <c r="AF458" i="6"/>
  <c r="AG458" i="6"/>
  <c r="AD459" i="6"/>
  <c r="AE459" i="6"/>
  <c r="AF459" i="6"/>
  <c r="AG459" i="6"/>
  <c r="AD460" i="6"/>
  <c r="AE460" i="6"/>
  <c r="AF460" i="6"/>
  <c r="AG460" i="6"/>
  <c r="AD461" i="6"/>
  <c r="AE461" i="6"/>
  <c r="AF461" i="6"/>
  <c r="AG461" i="6"/>
  <c r="AD462" i="6"/>
  <c r="AE462" i="6"/>
  <c r="AF462" i="6"/>
  <c r="AG462" i="6"/>
  <c r="AD463" i="6"/>
  <c r="AE463" i="6"/>
  <c r="AF463" i="6"/>
  <c r="AG463" i="6"/>
  <c r="AD464" i="6"/>
  <c r="AE464" i="6"/>
  <c r="AF464" i="6"/>
  <c r="AG464" i="6"/>
  <c r="AD465" i="6"/>
  <c r="AE465" i="6"/>
  <c r="AF465" i="6"/>
  <c r="AG465" i="6"/>
  <c r="AD466" i="6"/>
  <c r="AE466" i="6"/>
  <c r="AF466" i="6"/>
  <c r="AG466" i="6"/>
  <c r="AD467" i="6"/>
  <c r="AE467" i="6"/>
  <c r="AF467" i="6"/>
  <c r="AG467" i="6"/>
  <c r="AD468" i="6"/>
  <c r="AE468" i="6"/>
  <c r="AF468" i="6"/>
  <c r="AG468" i="6"/>
  <c r="AD469" i="6"/>
  <c r="AE469" i="6"/>
  <c r="AF469" i="6"/>
  <c r="AG469" i="6"/>
  <c r="AD470" i="6"/>
  <c r="AE470" i="6"/>
  <c r="AF470" i="6"/>
  <c r="AG470" i="6"/>
  <c r="AD471" i="6"/>
  <c r="AE471" i="6"/>
  <c r="AF471" i="6"/>
  <c r="AG471" i="6"/>
  <c r="AD472" i="6"/>
  <c r="AE472" i="6"/>
  <c r="AF472" i="6"/>
  <c r="AG472" i="6"/>
  <c r="AD473" i="6"/>
  <c r="AE473" i="6"/>
  <c r="AF473" i="6"/>
  <c r="AG473" i="6"/>
  <c r="AD474" i="6"/>
  <c r="AE474" i="6"/>
  <c r="AF474" i="6"/>
  <c r="AG474" i="6"/>
  <c r="AD475" i="6"/>
  <c r="AE475" i="6"/>
  <c r="AF475" i="6"/>
  <c r="AG475" i="6"/>
  <c r="AD476" i="6"/>
  <c r="AE476" i="6"/>
  <c r="AF476" i="6"/>
  <c r="AG476" i="6"/>
  <c r="AD477" i="6"/>
  <c r="AE477" i="6"/>
  <c r="AF477" i="6"/>
  <c r="AG477" i="6"/>
  <c r="AD478" i="6"/>
  <c r="AE478" i="6"/>
  <c r="AF478" i="6"/>
  <c r="AG478" i="6"/>
  <c r="AD479" i="6"/>
  <c r="AE479" i="6"/>
  <c r="AF479" i="6"/>
  <c r="AG479" i="6"/>
  <c r="AD480" i="6"/>
  <c r="AE480" i="6"/>
  <c r="AF480" i="6"/>
  <c r="AG480" i="6"/>
  <c r="AD481" i="6"/>
  <c r="AE481" i="6"/>
  <c r="AF481" i="6"/>
  <c r="AG481" i="6"/>
  <c r="AD482" i="6"/>
  <c r="AE482" i="6"/>
  <c r="AF482" i="6"/>
  <c r="AG482" i="6"/>
  <c r="AD483" i="6"/>
  <c r="AE483" i="6"/>
  <c r="AF483" i="6"/>
  <c r="AG483" i="6"/>
  <c r="AD484" i="6"/>
  <c r="AE484" i="6"/>
  <c r="AF484" i="6"/>
  <c r="AG484" i="6"/>
  <c r="AD485" i="6"/>
  <c r="AE485" i="6"/>
  <c r="AF485" i="6"/>
  <c r="AG485" i="6"/>
  <c r="AD486" i="6"/>
  <c r="AE486" i="6"/>
  <c r="AF486" i="6"/>
  <c r="AG486" i="6"/>
  <c r="AD487" i="6"/>
  <c r="AE487" i="6"/>
  <c r="AF487" i="6"/>
  <c r="AG487" i="6"/>
  <c r="AG3" i="6"/>
  <c r="AF3" i="6"/>
  <c r="AD3" i="6"/>
  <c r="AE3" i="6"/>
  <c r="Z4" i="6"/>
  <c r="AA4" i="6"/>
  <c r="AB4" i="6"/>
  <c r="AC4" i="6"/>
  <c r="Z5" i="6"/>
  <c r="AA5" i="6"/>
  <c r="AB5" i="6"/>
  <c r="AC5" i="6"/>
  <c r="Z6" i="6"/>
  <c r="AA6" i="6"/>
  <c r="AB6" i="6"/>
  <c r="AC6" i="6"/>
  <c r="Z7" i="6"/>
  <c r="AA7" i="6"/>
  <c r="AB7" i="6"/>
  <c r="AC7" i="6"/>
  <c r="Z8" i="6"/>
  <c r="AA8" i="6"/>
  <c r="AB8" i="6"/>
  <c r="AC8" i="6"/>
  <c r="Z9" i="6"/>
  <c r="AA9" i="6"/>
  <c r="AB9" i="6"/>
  <c r="AC9" i="6"/>
  <c r="Z10" i="6"/>
  <c r="AA10" i="6"/>
  <c r="AB10" i="6"/>
  <c r="AC10" i="6"/>
  <c r="Z11" i="6"/>
  <c r="AA11" i="6"/>
  <c r="AB11" i="6"/>
  <c r="AC11" i="6"/>
  <c r="Z12" i="6"/>
  <c r="AA12" i="6"/>
  <c r="AB12" i="6"/>
  <c r="AC12" i="6"/>
  <c r="Z13" i="6"/>
  <c r="AA13" i="6"/>
  <c r="AB13" i="6"/>
  <c r="AC13" i="6"/>
  <c r="Z14" i="6"/>
  <c r="AA14" i="6"/>
  <c r="AB14" i="6"/>
  <c r="AC14" i="6"/>
  <c r="Z15" i="6"/>
  <c r="AA15" i="6"/>
  <c r="AB15" i="6"/>
  <c r="AC15" i="6"/>
  <c r="Z16" i="6"/>
  <c r="AA16" i="6"/>
  <c r="AB16" i="6"/>
  <c r="AC16" i="6"/>
  <c r="Z17" i="6"/>
  <c r="AA17" i="6"/>
  <c r="AB17" i="6"/>
  <c r="AC17" i="6"/>
  <c r="Z18" i="6"/>
  <c r="AA18" i="6"/>
  <c r="AB18" i="6"/>
  <c r="AC18" i="6"/>
  <c r="Z19" i="6"/>
  <c r="AA19" i="6"/>
  <c r="AB19" i="6"/>
  <c r="AC19" i="6"/>
  <c r="Z20" i="6"/>
  <c r="AA20" i="6"/>
  <c r="AB20" i="6"/>
  <c r="AC20" i="6"/>
  <c r="Z21" i="6"/>
  <c r="AA21" i="6"/>
  <c r="AB21" i="6"/>
  <c r="AC21" i="6"/>
  <c r="Z22" i="6"/>
  <c r="AA22" i="6"/>
  <c r="AB22" i="6"/>
  <c r="AC22" i="6"/>
  <c r="Z23" i="6"/>
  <c r="AA23" i="6"/>
  <c r="AB23" i="6"/>
  <c r="AC23" i="6"/>
  <c r="Z24" i="6"/>
  <c r="AA24" i="6"/>
  <c r="AB24" i="6"/>
  <c r="AC24" i="6"/>
  <c r="Z25" i="6"/>
  <c r="AA25" i="6"/>
  <c r="AB25" i="6"/>
  <c r="AC25" i="6"/>
  <c r="Z26" i="6"/>
  <c r="AA26" i="6"/>
  <c r="AB26" i="6"/>
  <c r="AC26" i="6"/>
  <c r="Z27" i="6"/>
  <c r="AA27" i="6"/>
  <c r="AB27" i="6"/>
  <c r="AC27" i="6"/>
  <c r="Z28" i="6"/>
  <c r="AA28" i="6"/>
  <c r="AB28" i="6"/>
  <c r="AC28" i="6"/>
  <c r="Z29" i="6"/>
  <c r="AA29" i="6"/>
  <c r="AB29" i="6"/>
  <c r="AC29" i="6"/>
  <c r="Z30" i="6"/>
  <c r="AA30" i="6"/>
  <c r="AB30" i="6"/>
  <c r="AC30" i="6"/>
  <c r="Z31" i="6"/>
  <c r="AA31" i="6"/>
  <c r="AB31" i="6"/>
  <c r="AC31" i="6"/>
  <c r="Z32" i="6"/>
  <c r="AA32" i="6"/>
  <c r="AB32" i="6"/>
  <c r="AC32" i="6"/>
  <c r="Z33" i="6"/>
  <c r="AA33" i="6"/>
  <c r="AB33" i="6"/>
  <c r="AC33" i="6"/>
  <c r="Z34" i="6"/>
  <c r="AA34" i="6"/>
  <c r="AB34" i="6"/>
  <c r="AC34" i="6"/>
  <c r="Z35" i="6"/>
  <c r="AA35" i="6"/>
  <c r="AB35" i="6"/>
  <c r="AC35" i="6"/>
  <c r="Z36" i="6"/>
  <c r="AA36" i="6"/>
  <c r="AB36" i="6"/>
  <c r="AC36" i="6"/>
  <c r="Z37" i="6"/>
  <c r="AA37" i="6"/>
  <c r="AB37" i="6"/>
  <c r="AC37" i="6"/>
  <c r="Z38" i="6"/>
  <c r="AA38" i="6"/>
  <c r="AB38" i="6"/>
  <c r="AC38" i="6"/>
  <c r="Z39" i="6"/>
  <c r="AA39" i="6"/>
  <c r="AB39" i="6"/>
  <c r="AC39" i="6"/>
  <c r="Z40" i="6"/>
  <c r="AA40" i="6"/>
  <c r="AB40" i="6"/>
  <c r="AC40" i="6"/>
  <c r="Z41" i="6"/>
  <c r="AA41" i="6"/>
  <c r="AB41" i="6"/>
  <c r="AC41" i="6"/>
  <c r="Z42" i="6"/>
  <c r="AA42" i="6"/>
  <c r="AB42" i="6"/>
  <c r="AC42" i="6"/>
  <c r="Z43" i="6"/>
  <c r="AA43" i="6"/>
  <c r="AB43" i="6"/>
  <c r="AC43" i="6"/>
  <c r="Z44" i="6"/>
  <c r="AA44" i="6"/>
  <c r="AB44" i="6"/>
  <c r="AC44" i="6"/>
  <c r="Z45" i="6"/>
  <c r="AA45" i="6"/>
  <c r="AB45" i="6"/>
  <c r="AC45" i="6"/>
  <c r="Z46" i="6"/>
  <c r="AA46" i="6"/>
  <c r="AB46" i="6"/>
  <c r="AC46" i="6"/>
  <c r="Z47" i="6"/>
  <c r="AA47" i="6"/>
  <c r="AB47" i="6"/>
  <c r="AC47" i="6"/>
  <c r="Z48" i="6"/>
  <c r="AA48" i="6"/>
  <c r="AB48" i="6"/>
  <c r="AC48" i="6"/>
  <c r="Z49" i="6"/>
  <c r="AA49" i="6"/>
  <c r="AB49" i="6"/>
  <c r="AC49" i="6"/>
  <c r="Z50" i="6"/>
  <c r="AA50" i="6"/>
  <c r="AB50" i="6"/>
  <c r="AC50" i="6"/>
  <c r="Z51" i="6"/>
  <c r="AA51" i="6"/>
  <c r="AB51" i="6"/>
  <c r="AC51" i="6"/>
  <c r="Z52" i="6"/>
  <c r="AA52" i="6"/>
  <c r="AB52" i="6"/>
  <c r="AC52" i="6"/>
  <c r="Z53" i="6"/>
  <c r="AA53" i="6"/>
  <c r="AB53" i="6"/>
  <c r="AC53" i="6"/>
  <c r="Z54" i="6"/>
  <c r="AA54" i="6"/>
  <c r="AB54" i="6"/>
  <c r="AC54" i="6"/>
  <c r="Z55" i="6"/>
  <c r="AA55" i="6"/>
  <c r="AB55" i="6"/>
  <c r="AC55" i="6"/>
  <c r="Z56" i="6"/>
  <c r="AA56" i="6"/>
  <c r="AB56" i="6"/>
  <c r="AC56" i="6"/>
  <c r="Z57" i="6"/>
  <c r="AA57" i="6"/>
  <c r="AB57" i="6"/>
  <c r="AC57" i="6"/>
  <c r="Z58" i="6"/>
  <c r="AA58" i="6"/>
  <c r="AB58" i="6"/>
  <c r="AC58" i="6"/>
  <c r="Z59" i="6"/>
  <c r="AA59" i="6"/>
  <c r="AB59" i="6"/>
  <c r="AC59" i="6"/>
  <c r="Z60" i="6"/>
  <c r="AA60" i="6"/>
  <c r="AB60" i="6"/>
  <c r="AC60" i="6"/>
  <c r="Z61" i="6"/>
  <c r="AA61" i="6"/>
  <c r="AB61" i="6"/>
  <c r="AC61" i="6"/>
  <c r="Z62" i="6"/>
  <c r="AA62" i="6"/>
  <c r="AB62" i="6"/>
  <c r="AC62" i="6"/>
  <c r="Z63" i="6"/>
  <c r="AA63" i="6"/>
  <c r="AB63" i="6"/>
  <c r="AC63" i="6"/>
  <c r="Z64" i="6"/>
  <c r="AA64" i="6"/>
  <c r="AB64" i="6"/>
  <c r="AC64" i="6"/>
  <c r="Z65" i="6"/>
  <c r="AA65" i="6"/>
  <c r="AB65" i="6"/>
  <c r="AC65" i="6"/>
  <c r="Z66" i="6"/>
  <c r="AA66" i="6"/>
  <c r="AB66" i="6"/>
  <c r="AC66" i="6"/>
  <c r="Z67" i="6"/>
  <c r="AA67" i="6"/>
  <c r="AB67" i="6"/>
  <c r="AC67" i="6"/>
  <c r="Z68" i="6"/>
  <c r="AA68" i="6"/>
  <c r="AB68" i="6"/>
  <c r="AC68" i="6"/>
  <c r="Z69" i="6"/>
  <c r="AA69" i="6"/>
  <c r="AB69" i="6"/>
  <c r="AC69" i="6"/>
  <c r="Z70" i="6"/>
  <c r="AA70" i="6"/>
  <c r="AB70" i="6"/>
  <c r="AC70" i="6"/>
  <c r="Z71" i="6"/>
  <c r="AA71" i="6"/>
  <c r="AB71" i="6"/>
  <c r="AC71" i="6"/>
  <c r="Z72" i="6"/>
  <c r="AA72" i="6"/>
  <c r="AB72" i="6"/>
  <c r="AC72" i="6"/>
  <c r="Z73" i="6"/>
  <c r="AA73" i="6"/>
  <c r="AB73" i="6"/>
  <c r="AC73" i="6"/>
  <c r="Z74" i="6"/>
  <c r="AA74" i="6"/>
  <c r="AB74" i="6"/>
  <c r="AC74" i="6"/>
  <c r="Z75" i="6"/>
  <c r="AA75" i="6"/>
  <c r="AB75" i="6"/>
  <c r="AC75" i="6"/>
  <c r="Z76" i="6"/>
  <c r="AA76" i="6"/>
  <c r="AB76" i="6"/>
  <c r="AC76" i="6"/>
  <c r="Z77" i="6"/>
  <c r="AA77" i="6"/>
  <c r="AB77" i="6"/>
  <c r="AC77" i="6"/>
  <c r="Z78" i="6"/>
  <c r="AA78" i="6"/>
  <c r="AB78" i="6"/>
  <c r="AC78" i="6"/>
  <c r="Z79" i="6"/>
  <c r="AA79" i="6"/>
  <c r="AB79" i="6"/>
  <c r="AC79" i="6"/>
  <c r="Z80" i="6"/>
  <c r="AA80" i="6"/>
  <c r="AB80" i="6"/>
  <c r="AC80" i="6"/>
  <c r="Z81" i="6"/>
  <c r="AA81" i="6"/>
  <c r="AB81" i="6"/>
  <c r="AC81" i="6"/>
  <c r="Z82" i="6"/>
  <c r="AA82" i="6"/>
  <c r="AB82" i="6"/>
  <c r="AC82" i="6"/>
  <c r="Z83" i="6"/>
  <c r="AA83" i="6"/>
  <c r="AB83" i="6"/>
  <c r="AC83" i="6"/>
  <c r="Z84" i="6"/>
  <c r="AA84" i="6"/>
  <c r="AB84" i="6"/>
  <c r="AC84" i="6"/>
  <c r="Z85" i="6"/>
  <c r="AA85" i="6"/>
  <c r="AB85" i="6"/>
  <c r="AC85" i="6"/>
  <c r="Z86" i="6"/>
  <c r="AA86" i="6"/>
  <c r="AB86" i="6"/>
  <c r="AC86" i="6"/>
  <c r="Z87" i="6"/>
  <c r="AA87" i="6"/>
  <c r="AB87" i="6"/>
  <c r="AC87" i="6"/>
  <c r="Z88" i="6"/>
  <c r="AA88" i="6"/>
  <c r="AB88" i="6"/>
  <c r="AC88" i="6"/>
  <c r="Z89" i="6"/>
  <c r="AA89" i="6"/>
  <c r="AB89" i="6"/>
  <c r="AC89" i="6"/>
  <c r="Z90" i="6"/>
  <c r="AA90" i="6"/>
  <c r="AB90" i="6"/>
  <c r="AC90" i="6"/>
  <c r="Z91" i="6"/>
  <c r="AA91" i="6"/>
  <c r="AB91" i="6"/>
  <c r="AC91" i="6"/>
  <c r="Z92" i="6"/>
  <c r="AA92" i="6"/>
  <c r="AB92" i="6"/>
  <c r="AC92" i="6"/>
  <c r="Z93" i="6"/>
  <c r="AA93" i="6"/>
  <c r="AB93" i="6"/>
  <c r="AC93" i="6"/>
  <c r="Z94" i="6"/>
  <c r="AA94" i="6"/>
  <c r="AB94" i="6"/>
  <c r="AC94" i="6"/>
  <c r="Z95" i="6"/>
  <c r="AA95" i="6"/>
  <c r="AB95" i="6"/>
  <c r="AC95" i="6"/>
  <c r="Z96" i="6"/>
  <c r="AA96" i="6"/>
  <c r="AB96" i="6"/>
  <c r="AC96" i="6"/>
  <c r="Z97" i="6"/>
  <c r="AA97" i="6"/>
  <c r="AB97" i="6"/>
  <c r="AC97" i="6"/>
  <c r="Z98" i="6"/>
  <c r="AA98" i="6"/>
  <c r="AB98" i="6"/>
  <c r="AC98" i="6"/>
  <c r="Z99" i="6"/>
  <c r="AA99" i="6"/>
  <c r="AB99" i="6"/>
  <c r="AC99" i="6"/>
  <c r="Z100" i="6"/>
  <c r="AA100" i="6"/>
  <c r="AB100" i="6"/>
  <c r="AC100" i="6"/>
  <c r="Z101" i="6"/>
  <c r="AA101" i="6"/>
  <c r="AB101" i="6"/>
  <c r="AC101" i="6"/>
  <c r="Z102" i="6"/>
  <c r="AA102" i="6"/>
  <c r="AB102" i="6"/>
  <c r="AC102" i="6"/>
  <c r="Z103" i="6"/>
  <c r="AA103" i="6"/>
  <c r="AB103" i="6"/>
  <c r="AC103" i="6"/>
  <c r="Z104" i="6"/>
  <c r="AA104" i="6"/>
  <c r="AB104" i="6"/>
  <c r="AC104" i="6"/>
  <c r="Z105" i="6"/>
  <c r="AA105" i="6"/>
  <c r="AB105" i="6"/>
  <c r="AC105" i="6"/>
  <c r="Z106" i="6"/>
  <c r="AA106" i="6"/>
  <c r="AB106" i="6"/>
  <c r="AC106" i="6"/>
  <c r="Z107" i="6"/>
  <c r="AA107" i="6"/>
  <c r="AB107" i="6"/>
  <c r="AC107" i="6"/>
  <c r="Z108" i="6"/>
  <c r="AA108" i="6"/>
  <c r="AB108" i="6"/>
  <c r="AC108" i="6"/>
  <c r="Z109" i="6"/>
  <c r="AA109" i="6"/>
  <c r="AB109" i="6"/>
  <c r="AC109" i="6"/>
  <c r="Z110" i="6"/>
  <c r="AA110" i="6"/>
  <c r="AB110" i="6"/>
  <c r="AC110" i="6"/>
  <c r="Z111" i="6"/>
  <c r="AA111" i="6"/>
  <c r="AB111" i="6"/>
  <c r="AC111" i="6"/>
  <c r="Z112" i="6"/>
  <c r="AA112" i="6"/>
  <c r="AB112" i="6"/>
  <c r="AC112" i="6"/>
  <c r="Z113" i="6"/>
  <c r="AA113" i="6"/>
  <c r="AB113" i="6"/>
  <c r="AC113" i="6"/>
  <c r="Z114" i="6"/>
  <c r="AA114" i="6"/>
  <c r="AB114" i="6"/>
  <c r="AC114" i="6"/>
  <c r="Z115" i="6"/>
  <c r="AA115" i="6"/>
  <c r="AB115" i="6"/>
  <c r="AC115" i="6"/>
  <c r="Z116" i="6"/>
  <c r="AA116" i="6"/>
  <c r="AB116" i="6"/>
  <c r="AC116" i="6"/>
  <c r="Z117" i="6"/>
  <c r="AA117" i="6"/>
  <c r="AB117" i="6"/>
  <c r="AC117" i="6"/>
  <c r="Z118" i="6"/>
  <c r="AA118" i="6"/>
  <c r="AB118" i="6"/>
  <c r="AC118" i="6"/>
  <c r="Z119" i="6"/>
  <c r="AA119" i="6"/>
  <c r="AB119" i="6"/>
  <c r="AC119" i="6"/>
  <c r="Z120" i="6"/>
  <c r="AA120" i="6"/>
  <c r="AB120" i="6"/>
  <c r="AC120" i="6"/>
  <c r="Z121" i="6"/>
  <c r="AA121" i="6"/>
  <c r="AB121" i="6"/>
  <c r="AC121" i="6"/>
  <c r="Z122" i="6"/>
  <c r="AA122" i="6"/>
  <c r="AB122" i="6"/>
  <c r="AC122" i="6"/>
  <c r="Z123" i="6"/>
  <c r="AA123" i="6"/>
  <c r="AB123" i="6"/>
  <c r="AC123" i="6"/>
  <c r="Z124" i="6"/>
  <c r="AA124" i="6"/>
  <c r="AB124" i="6"/>
  <c r="AC124" i="6"/>
  <c r="Z125" i="6"/>
  <c r="AA125" i="6"/>
  <c r="AB125" i="6"/>
  <c r="AC125" i="6"/>
  <c r="Z126" i="6"/>
  <c r="AA126" i="6"/>
  <c r="AB126" i="6"/>
  <c r="AC126" i="6"/>
  <c r="Z127" i="6"/>
  <c r="AA127" i="6"/>
  <c r="AB127" i="6"/>
  <c r="AC127" i="6"/>
  <c r="Z128" i="6"/>
  <c r="AA128" i="6"/>
  <c r="AB128" i="6"/>
  <c r="AC128" i="6"/>
  <c r="Z129" i="6"/>
  <c r="AA129" i="6"/>
  <c r="AB129" i="6"/>
  <c r="AC129" i="6"/>
  <c r="Z130" i="6"/>
  <c r="AA130" i="6"/>
  <c r="AB130" i="6"/>
  <c r="AC130" i="6"/>
  <c r="Z131" i="6"/>
  <c r="AA131" i="6"/>
  <c r="AB131" i="6"/>
  <c r="AC131" i="6"/>
  <c r="Z132" i="6"/>
  <c r="AA132" i="6"/>
  <c r="AB132" i="6"/>
  <c r="AC132" i="6"/>
  <c r="Z133" i="6"/>
  <c r="AA133" i="6"/>
  <c r="AB133" i="6"/>
  <c r="AC133" i="6"/>
  <c r="Z134" i="6"/>
  <c r="AA134" i="6"/>
  <c r="AB134" i="6"/>
  <c r="AC134" i="6"/>
  <c r="Z135" i="6"/>
  <c r="AA135" i="6"/>
  <c r="AB135" i="6"/>
  <c r="AC135" i="6"/>
  <c r="Z136" i="6"/>
  <c r="AA136" i="6"/>
  <c r="AB136" i="6"/>
  <c r="AC136" i="6"/>
  <c r="Z137" i="6"/>
  <c r="AA137" i="6"/>
  <c r="AB137" i="6"/>
  <c r="AC137" i="6"/>
  <c r="Z138" i="6"/>
  <c r="AA138" i="6"/>
  <c r="AB138" i="6"/>
  <c r="AC138" i="6"/>
  <c r="Z139" i="6"/>
  <c r="AA139" i="6"/>
  <c r="AB139" i="6"/>
  <c r="AC139" i="6"/>
  <c r="Z140" i="6"/>
  <c r="AA140" i="6"/>
  <c r="AB140" i="6"/>
  <c r="AC140" i="6"/>
  <c r="Z141" i="6"/>
  <c r="AA141" i="6"/>
  <c r="AB141" i="6"/>
  <c r="AC141" i="6"/>
  <c r="Z142" i="6"/>
  <c r="AA142" i="6"/>
  <c r="AB142" i="6"/>
  <c r="AC142" i="6"/>
  <c r="Z143" i="6"/>
  <c r="AA143" i="6"/>
  <c r="AB143" i="6"/>
  <c r="AC143" i="6"/>
  <c r="Z144" i="6"/>
  <c r="AA144" i="6"/>
  <c r="AB144" i="6"/>
  <c r="AC144" i="6"/>
  <c r="Z145" i="6"/>
  <c r="AA145" i="6"/>
  <c r="AB145" i="6"/>
  <c r="AC145" i="6"/>
  <c r="Z146" i="6"/>
  <c r="AA146" i="6"/>
  <c r="AB146" i="6"/>
  <c r="AC146" i="6"/>
  <c r="Z147" i="6"/>
  <c r="AA147" i="6"/>
  <c r="AB147" i="6"/>
  <c r="AC147" i="6"/>
  <c r="Z148" i="6"/>
  <c r="AA148" i="6"/>
  <c r="AB148" i="6"/>
  <c r="AC148" i="6"/>
  <c r="Z149" i="6"/>
  <c r="AA149" i="6"/>
  <c r="AB149" i="6"/>
  <c r="AC149" i="6"/>
  <c r="Z150" i="6"/>
  <c r="AA150" i="6"/>
  <c r="AB150" i="6"/>
  <c r="AC150" i="6"/>
  <c r="Z151" i="6"/>
  <c r="AA151" i="6"/>
  <c r="AB151" i="6"/>
  <c r="AC151" i="6"/>
  <c r="Z152" i="6"/>
  <c r="AA152" i="6"/>
  <c r="AB152" i="6"/>
  <c r="AC152" i="6"/>
  <c r="Z153" i="6"/>
  <c r="AA153" i="6"/>
  <c r="AB153" i="6"/>
  <c r="AC153" i="6"/>
  <c r="Z154" i="6"/>
  <c r="AA154" i="6"/>
  <c r="AB154" i="6"/>
  <c r="AC154" i="6"/>
  <c r="Z155" i="6"/>
  <c r="AA155" i="6"/>
  <c r="AB155" i="6"/>
  <c r="AC155" i="6"/>
  <c r="Z156" i="6"/>
  <c r="AA156" i="6"/>
  <c r="AB156" i="6"/>
  <c r="AC156" i="6"/>
  <c r="Z157" i="6"/>
  <c r="AA157" i="6"/>
  <c r="AB157" i="6"/>
  <c r="AC157" i="6"/>
  <c r="Z158" i="6"/>
  <c r="AA158" i="6"/>
  <c r="AB158" i="6"/>
  <c r="AC158" i="6"/>
  <c r="Z159" i="6"/>
  <c r="AA159" i="6"/>
  <c r="AB159" i="6"/>
  <c r="AC159" i="6"/>
  <c r="Z160" i="6"/>
  <c r="AA160" i="6"/>
  <c r="AB160" i="6"/>
  <c r="AC160" i="6"/>
  <c r="Z161" i="6"/>
  <c r="AA161" i="6"/>
  <c r="AB161" i="6"/>
  <c r="AC161" i="6"/>
  <c r="Z162" i="6"/>
  <c r="AA162" i="6"/>
  <c r="AB162" i="6"/>
  <c r="AC162" i="6"/>
  <c r="Z163" i="6"/>
  <c r="AA163" i="6"/>
  <c r="AB163" i="6"/>
  <c r="AC163" i="6"/>
  <c r="Z164" i="6"/>
  <c r="AA164" i="6"/>
  <c r="AB164" i="6"/>
  <c r="AC164" i="6"/>
  <c r="Z165" i="6"/>
  <c r="AA165" i="6"/>
  <c r="AB165" i="6"/>
  <c r="AC165" i="6"/>
  <c r="Z166" i="6"/>
  <c r="AA166" i="6"/>
  <c r="AB166" i="6"/>
  <c r="AC166" i="6"/>
  <c r="Z167" i="6"/>
  <c r="AA167" i="6"/>
  <c r="AB167" i="6"/>
  <c r="AC167" i="6"/>
  <c r="Z168" i="6"/>
  <c r="AA168" i="6"/>
  <c r="AB168" i="6"/>
  <c r="AC168" i="6"/>
  <c r="Z169" i="6"/>
  <c r="AA169" i="6"/>
  <c r="AB169" i="6"/>
  <c r="AC169" i="6"/>
  <c r="Z170" i="6"/>
  <c r="AA170" i="6"/>
  <c r="AB170" i="6"/>
  <c r="AC170" i="6"/>
  <c r="Z171" i="6"/>
  <c r="AA171" i="6"/>
  <c r="AB171" i="6"/>
  <c r="AC171" i="6"/>
  <c r="Z172" i="6"/>
  <c r="AA172" i="6"/>
  <c r="AB172" i="6"/>
  <c r="AC172" i="6"/>
  <c r="Z173" i="6"/>
  <c r="AA173" i="6"/>
  <c r="AB173" i="6"/>
  <c r="AC173" i="6"/>
  <c r="Z174" i="6"/>
  <c r="AA174" i="6"/>
  <c r="AB174" i="6"/>
  <c r="AC174" i="6"/>
  <c r="Z175" i="6"/>
  <c r="AA175" i="6"/>
  <c r="AB175" i="6"/>
  <c r="AC175" i="6"/>
  <c r="Z176" i="6"/>
  <c r="AA176" i="6"/>
  <c r="AB176" i="6"/>
  <c r="AC176" i="6"/>
  <c r="Z177" i="6"/>
  <c r="AA177" i="6"/>
  <c r="AB177" i="6"/>
  <c r="AC177" i="6"/>
  <c r="Z178" i="6"/>
  <c r="AA178" i="6"/>
  <c r="AB178" i="6"/>
  <c r="AC178" i="6"/>
  <c r="Z179" i="6"/>
  <c r="AA179" i="6"/>
  <c r="AB179" i="6"/>
  <c r="AC179" i="6"/>
  <c r="Z180" i="6"/>
  <c r="AA180" i="6"/>
  <c r="AB180" i="6"/>
  <c r="AC180" i="6"/>
  <c r="Z181" i="6"/>
  <c r="AA181" i="6"/>
  <c r="AB181" i="6"/>
  <c r="AC181" i="6"/>
  <c r="Z182" i="6"/>
  <c r="AA182" i="6"/>
  <c r="AB182" i="6"/>
  <c r="AC182" i="6"/>
  <c r="Z183" i="6"/>
  <c r="AA183" i="6"/>
  <c r="AB183" i="6"/>
  <c r="AC183" i="6"/>
  <c r="Z184" i="6"/>
  <c r="AA184" i="6"/>
  <c r="AB184" i="6"/>
  <c r="AC184" i="6"/>
  <c r="Z185" i="6"/>
  <c r="AA185" i="6"/>
  <c r="AB185" i="6"/>
  <c r="AC185" i="6"/>
  <c r="Z186" i="6"/>
  <c r="AA186" i="6"/>
  <c r="AB186" i="6"/>
  <c r="AC186" i="6"/>
  <c r="Z187" i="6"/>
  <c r="AA187" i="6"/>
  <c r="AB187" i="6"/>
  <c r="AC187" i="6"/>
  <c r="Z188" i="6"/>
  <c r="AA188" i="6"/>
  <c r="AB188" i="6"/>
  <c r="AC188" i="6"/>
  <c r="Z189" i="6"/>
  <c r="AA189" i="6"/>
  <c r="AB189" i="6"/>
  <c r="AC189" i="6"/>
  <c r="Z190" i="6"/>
  <c r="AA190" i="6"/>
  <c r="AB190" i="6"/>
  <c r="AC190" i="6"/>
  <c r="Z191" i="6"/>
  <c r="AA191" i="6"/>
  <c r="AB191" i="6"/>
  <c r="AC191" i="6"/>
  <c r="Z192" i="6"/>
  <c r="AA192" i="6"/>
  <c r="AB192" i="6"/>
  <c r="AC192" i="6"/>
  <c r="Z193" i="6"/>
  <c r="AA193" i="6"/>
  <c r="AB193" i="6"/>
  <c r="AC193" i="6"/>
  <c r="Z194" i="6"/>
  <c r="AA194" i="6"/>
  <c r="AB194" i="6"/>
  <c r="AC194" i="6"/>
  <c r="Z195" i="6"/>
  <c r="AA195" i="6"/>
  <c r="AB195" i="6"/>
  <c r="AC195" i="6"/>
  <c r="Z196" i="6"/>
  <c r="AA196" i="6"/>
  <c r="AB196" i="6"/>
  <c r="AC196" i="6"/>
  <c r="Z197" i="6"/>
  <c r="AA197" i="6"/>
  <c r="AB197" i="6"/>
  <c r="AC197" i="6"/>
  <c r="Z198" i="6"/>
  <c r="AA198" i="6"/>
  <c r="AB198" i="6"/>
  <c r="AC198" i="6"/>
  <c r="Z199" i="6"/>
  <c r="AA199" i="6"/>
  <c r="AB199" i="6"/>
  <c r="AC199" i="6"/>
  <c r="Z200" i="6"/>
  <c r="AA200" i="6"/>
  <c r="AB200" i="6"/>
  <c r="AC200" i="6"/>
  <c r="Z201" i="6"/>
  <c r="AA201" i="6"/>
  <c r="AB201" i="6"/>
  <c r="AC201" i="6"/>
  <c r="Z202" i="6"/>
  <c r="AA202" i="6"/>
  <c r="AB202" i="6"/>
  <c r="AC202" i="6"/>
  <c r="Z203" i="6"/>
  <c r="AA203" i="6"/>
  <c r="AB203" i="6"/>
  <c r="AC203" i="6"/>
  <c r="Z204" i="6"/>
  <c r="AA204" i="6"/>
  <c r="AB204" i="6"/>
  <c r="AC204" i="6"/>
  <c r="Z205" i="6"/>
  <c r="AA205" i="6"/>
  <c r="AB205" i="6"/>
  <c r="AC205" i="6"/>
  <c r="Z206" i="6"/>
  <c r="AA206" i="6"/>
  <c r="AB206" i="6"/>
  <c r="AC206" i="6"/>
  <c r="Z207" i="6"/>
  <c r="AA207" i="6"/>
  <c r="AB207" i="6"/>
  <c r="AC207" i="6"/>
  <c r="Z208" i="6"/>
  <c r="AA208" i="6"/>
  <c r="AB208" i="6"/>
  <c r="AC208" i="6"/>
  <c r="Z209" i="6"/>
  <c r="AA209" i="6"/>
  <c r="AB209" i="6"/>
  <c r="AC209" i="6"/>
  <c r="Z210" i="6"/>
  <c r="AA210" i="6"/>
  <c r="AB210" i="6"/>
  <c r="AC210" i="6"/>
  <c r="Z211" i="6"/>
  <c r="AA211" i="6"/>
  <c r="AB211" i="6"/>
  <c r="AC211" i="6"/>
  <c r="Z212" i="6"/>
  <c r="AA212" i="6"/>
  <c r="AB212" i="6"/>
  <c r="AC212" i="6"/>
  <c r="Z213" i="6"/>
  <c r="AA213" i="6"/>
  <c r="AB213" i="6"/>
  <c r="AC213" i="6"/>
  <c r="Z214" i="6"/>
  <c r="AA214" i="6"/>
  <c r="AB214" i="6"/>
  <c r="AC214" i="6"/>
  <c r="Z215" i="6"/>
  <c r="AA215" i="6"/>
  <c r="AB215" i="6"/>
  <c r="AC215" i="6"/>
  <c r="Z216" i="6"/>
  <c r="AA216" i="6"/>
  <c r="AB216" i="6"/>
  <c r="AC216" i="6"/>
  <c r="Z217" i="6"/>
  <c r="AA217" i="6"/>
  <c r="AB217" i="6"/>
  <c r="AC217" i="6"/>
  <c r="Z218" i="6"/>
  <c r="AA218" i="6"/>
  <c r="AB218" i="6"/>
  <c r="AC218" i="6"/>
  <c r="Z219" i="6"/>
  <c r="AA219" i="6"/>
  <c r="AB219" i="6"/>
  <c r="AC219" i="6"/>
  <c r="Z220" i="6"/>
  <c r="AA220" i="6"/>
  <c r="AB220" i="6"/>
  <c r="AC220" i="6"/>
  <c r="Z221" i="6"/>
  <c r="AA221" i="6"/>
  <c r="AB221" i="6"/>
  <c r="AC221" i="6"/>
  <c r="Z222" i="6"/>
  <c r="AA222" i="6"/>
  <c r="AB222" i="6"/>
  <c r="AC222" i="6"/>
  <c r="Z223" i="6"/>
  <c r="AA223" i="6"/>
  <c r="AB223" i="6"/>
  <c r="AC223" i="6"/>
  <c r="Z224" i="6"/>
  <c r="AA224" i="6"/>
  <c r="AB224" i="6"/>
  <c r="AC224" i="6"/>
  <c r="Z225" i="6"/>
  <c r="AA225" i="6"/>
  <c r="AB225" i="6"/>
  <c r="AC225" i="6"/>
  <c r="Z226" i="6"/>
  <c r="AA226" i="6"/>
  <c r="AB226" i="6"/>
  <c r="AC226" i="6"/>
  <c r="Z227" i="6"/>
  <c r="AA227" i="6"/>
  <c r="AB227" i="6"/>
  <c r="AC227" i="6"/>
  <c r="Z228" i="6"/>
  <c r="AA228" i="6"/>
  <c r="AB228" i="6"/>
  <c r="AC228" i="6"/>
  <c r="Z229" i="6"/>
  <c r="AA229" i="6"/>
  <c r="AB229" i="6"/>
  <c r="AC229" i="6"/>
  <c r="Z230" i="6"/>
  <c r="AA230" i="6"/>
  <c r="AB230" i="6"/>
  <c r="AC230" i="6"/>
  <c r="Z231" i="6"/>
  <c r="AA231" i="6"/>
  <c r="AB231" i="6"/>
  <c r="AC231" i="6"/>
  <c r="Z232" i="6"/>
  <c r="AA232" i="6"/>
  <c r="AB232" i="6"/>
  <c r="AC232" i="6"/>
  <c r="Z233" i="6"/>
  <c r="AA233" i="6"/>
  <c r="AB233" i="6"/>
  <c r="AC233" i="6"/>
  <c r="Z234" i="6"/>
  <c r="AA234" i="6"/>
  <c r="AB234" i="6"/>
  <c r="AC234" i="6"/>
  <c r="Z235" i="6"/>
  <c r="AA235" i="6"/>
  <c r="AB235" i="6"/>
  <c r="AC235" i="6"/>
  <c r="Z236" i="6"/>
  <c r="AA236" i="6"/>
  <c r="AB236" i="6"/>
  <c r="AC236" i="6"/>
  <c r="Z237" i="6"/>
  <c r="AA237" i="6"/>
  <c r="AB237" i="6"/>
  <c r="AC237" i="6"/>
  <c r="Z238" i="6"/>
  <c r="AA238" i="6"/>
  <c r="AB238" i="6"/>
  <c r="AC238" i="6"/>
  <c r="Z239" i="6"/>
  <c r="AA239" i="6"/>
  <c r="AB239" i="6"/>
  <c r="AC239" i="6"/>
  <c r="Z240" i="6"/>
  <c r="AA240" i="6"/>
  <c r="AB240" i="6"/>
  <c r="AC240" i="6"/>
  <c r="Z241" i="6"/>
  <c r="AA241" i="6"/>
  <c r="AB241" i="6"/>
  <c r="AC241" i="6"/>
  <c r="Z242" i="6"/>
  <c r="AA242" i="6"/>
  <c r="AB242" i="6"/>
  <c r="AC242" i="6"/>
  <c r="Z243" i="6"/>
  <c r="AA243" i="6"/>
  <c r="AB243" i="6"/>
  <c r="AC243" i="6"/>
  <c r="Z244" i="6"/>
  <c r="AA244" i="6"/>
  <c r="AB244" i="6"/>
  <c r="AC244" i="6"/>
  <c r="Z245" i="6"/>
  <c r="AA245" i="6"/>
  <c r="AB245" i="6"/>
  <c r="AC245" i="6"/>
  <c r="Z246" i="6"/>
  <c r="AA246" i="6"/>
  <c r="AB246" i="6"/>
  <c r="AC246" i="6"/>
  <c r="Z247" i="6"/>
  <c r="AA247" i="6"/>
  <c r="AB247" i="6"/>
  <c r="AC247" i="6"/>
  <c r="Z248" i="6"/>
  <c r="AA248" i="6"/>
  <c r="AB248" i="6"/>
  <c r="AC248" i="6"/>
  <c r="Z249" i="6"/>
  <c r="AA249" i="6"/>
  <c r="AB249" i="6"/>
  <c r="AC249" i="6"/>
  <c r="Z250" i="6"/>
  <c r="AA250" i="6"/>
  <c r="AB250" i="6"/>
  <c r="AC250" i="6"/>
  <c r="Z251" i="6"/>
  <c r="AA251" i="6"/>
  <c r="AB251" i="6"/>
  <c r="AC251" i="6"/>
  <c r="Z252" i="6"/>
  <c r="AA252" i="6"/>
  <c r="AB252" i="6"/>
  <c r="AC252" i="6"/>
  <c r="Z253" i="6"/>
  <c r="AA253" i="6"/>
  <c r="AB253" i="6"/>
  <c r="AC253" i="6"/>
  <c r="Z254" i="6"/>
  <c r="AA254" i="6"/>
  <c r="AB254" i="6"/>
  <c r="AC254" i="6"/>
  <c r="Z255" i="6"/>
  <c r="AA255" i="6"/>
  <c r="AB255" i="6"/>
  <c r="AC255" i="6"/>
  <c r="Z256" i="6"/>
  <c r="AA256" i="6"/>
  <c r="AB256" i="6"/>
  <c r="AC256" i="6"/>
  <c r="Z257" i="6"/>
  <c r="AA257" i="6"/>
  <c r="AB257" i="6"/>
  <c r="AC257" i="6"/>
  <c r="Z258" i="6"/>
  <c r="AA258" i="6"/>
  <c r="AB258" i="6"/>
  <c r="AC258" i="6"/>
  <c r="Z259" i="6"/>
  <c r="AA259" i="6"/>
  <c r="AB259" i="6"/>
  <c r="AC259" i="6"/>
  <c r="Z260" i="6"/>
  <c r="AA260" i="6"/>
  <c r="AB260" i="6"/>
  <c r="AC260" i="6"/>
  <c r="Z261" i="6"/>
  <c r="AA261" i="6"/>
  <c r="AB261" i="6"/>
  <c r="AC261" i="6"/>
  <c r="Z262" i="6"/>
  <c r="AA262" i="6"/>
  <c r="AB262" i="6"/>
  <c r="AC262" i="6"/>
  <c r="Z263" i="6"/>
  <c r="AA263" i="6"/>
  <c r="AB263" i="6"/>
  <c r="AC263" i="6"/>
  <c r="Z264" i="6"/>
  <c r="AA264" i="6"/>
  <c r="AB264" i="6"/>
  <c r="AC264" i="6"/>
  <c r="Z265" i="6"/>
  <c r="AA265" i="6"/>
  <c r="AB265" i="6"/>
  <c r="AC265" i="6"/>
  <c r="Z266" i="6"/>
  <c r="AA266" i="6"/>
  <c r="AB266" i="6"/>
  <c r="AC266" i="6"/>
  <c r="Z267" i="6"/>
  <c r="AA267" i="6"/>
  <c r="AB267" i="6"/>
  <c r="AC267" i="6"/>
  <c r="Z268" i="6"/>
  <c r="AA268" i="6"/>
  <c r="AB268" i="6"/>
  <c r="AC268" i="6"/>
  <c r="Z269" i="6"/>
  <c r="AA269" i="6"/>
  <c r="AB269" i="6"/>
  <c r="AC269" i="6"/>
  <c r="Z270" i="6"/>
  <c r="AA270" i="6"/>
  <c r="AB270" i="6"/>
  <c r="AC270" i="6"/>
  <c r="Z271" i="6"/>
  <c r="AA271" i="6"/>
  <c r="AB271" i="6"/>
  <c r="AC271" i="6"/>
  <c r="Z272" i="6"/>
  <c r="AA272" i="6"/>
  <c r="AB272" i="6"/>
  <c r="AC272" i="6"/>
  <c r="Z273" i="6"/>
  <c r="AA273" i="6"/>
  <c r="AB273" i="6"/>
  <c r="AC273" i="6"/>
  <c r="Z274" i="6"/>
  <c r="AA274" i="6"/>
  <c r="AB274" i="6"/>
  <c r="AC274" i="6"/>
  <c r="Z275" i="6"/>
  <c r="AA275" i="6"/>
  <c r="AB275" i="6"/>
  <c r="AC275" i="6"/>
  <c r="Z276" i="6"/>
  <c r="AA276" i="6"/>
  <c r="AB276" i="6"/>
  <c r="AC276" i="6"/>
  <c r="Z277" i="6"/>
  <c r="AA277" i="6"/>
  <c r="AB277" i="6"/>
  <c r="AC277" i="6"/>
  <c r="Z278" i="6"/>
  <c r="AA278" i="6"/>
  <c r="AB278" i="6"/>
  <c r="AC278" i="6"/>
  <c r="Z279" i="6"/>
  <c r="AA279" i="6"/>
  <c r="AB279" i="6"/>
  <c r="AC279" i="6"/>
  <c r="Z280" i="6"/>
  <c r="AA280" i="6"/>
  <c r="AB280" i="6"/>
  <c r="AC280" i="6"/>
  <c r="Z281" i="6"/>
  <c r="AA281" i="6"/>
  <c r="AB281" i="6"/>
  <c r="AC281" i="6"/>
  <c r="Z282" i="6"/>
  <c r="AA282" i="6"/>
  <c r="AB282" i="6"/>
  <c r="AC282" i="6"/>
  <c r="Z283" i="6"/>
  <c r="AA283" i="6"/>
  <c r="AB283" i="6"/>
  <c r="AC283" i="6"/>
  <c r="Z284" i="6"/>
  <c r="AA284" i="6"/>
  <c r="AB284" i="6"/>
  <c r="AC284" i="6"/>
  <c r="Z285" i="6"/>
  <c r="AA285" i="6"/>
  <c r="AB285" i="6"/>
  <c r="AC285" i="6"/>
  <c r="Z286" i="6"/>
  <c r="AA286" i="6"/>
  <c r="AB286" i="6"/>
  <c r="AC286" i="6"/>
  <c r="Z287" i="6"/>
  <c r="AA287" i="6"/>
  <c r="AB287" i="6"/>
  <c r="AC287" i="6"/>
  <c r="Z288" i="6"/>
  <c r="AA288" i="6"/>
  <c r="AB288" i="6"/>
  <c r="AC288" i="6"/>
  <c r="Z289" i="6"/>
  <c r="AA289" i="6"/>
  <c r="AB289" i="6"/>
  <c r="AC289" i="6"/>
  <c r="Z290" i="6"/>
  <c r="AA290" i="6"/>
  <c r="AB290" i="6"/>
  <c r="AC290" i="6"/>
  <c r="Z291" i="6"/>
  <c r="AA291" i="6"/>
  <c r="AB291" i="6"/>
  <c r="AC291" i="6"/>
  <c r="Z292" i="6"/>
  <c r="AA292" i="6"/>
  <c r="AB292" i="6"/>
  <c r="AC292" i="6"/>
  <c r="Z293" i="6"/>
  <c r="AA293" i="6"/>
  <c r="AB293" i="6"/>
  <c r="AC293" i="6"/>
  <c r="Z294" i="6"/>
  <c r="AA294" i="6"/>
  <c r="AB294" i="6"/>
  <c r="AC294" i="6"/>
  <c r="Z295" i="6"/>
  <c r="AA295" i="6"/>
  <c r="AB295" i="6"/>
  <c r="AC295" i="6"/>
  <c r="Z296" i="6"/>
  <c r="AA296" i="6"/>
  <c r="AB296" i="6"/>
  <c r="AC296" i="6"/>
  <c r="Z297" i="6"/>
  <c r="AA297" i="6"/>
  <c r="AB297" i="6"/>
  <c r="AC297" i="6"/>
  <c r="Z298" i="6"/>
  <c r="AA298" i="6"/>
  <c r="AB298" i="6"/>
  <c r="AC298" i="6"/>
  <c r="Z299" i="6"/>
  <c r="AA299" i="6"/>
  <c r="AB299" i="6"/>
  <c r="AC299" i="6"/>
  <c r="Z300" i="6"/>
  <c r="AA300" i="6"/>
  <c r="AB300" i="6"/>
  <c r="AC300" i="6"/>
  <c r="Z301" i="6"/>
  <c r="AA301" i="6"/>
  <c r="AB301" i="6"/>
  <c r="AC301" i="6"/>
  <c r="Z302" i="6"/>
  <c r="AA302" i="6"/>
  <c r="AB302" i="6"/>
  <c r="AC302" i="6"/>
  <c r="Z303" i="6"/>
  <c r="AA303" i="6"/>
  <c r="AB303" i="6"/>
  <c r="AC303" i="6"/>
  <c r="Z304" i="6"/>
  <c r="AA304" i="6"/>
  <c r="AB304" i="6"/>
  <c r="AC304" i="6"/>
  <c r="Z305" i="6"/>
  <c r="AA305" i="6"/>
  <c r="AB305" i="6"/>
  <c r="AC305" i="6"/>
  <c r="Z306" i="6"/>
  <c r="AA306" i="6"/>
  <c r="AB306" i="6"/>
  <c r="AC306" i="6"/>
  <c r="Z307" i="6"/>
  <c r="AA307" i="6"/>
  <c r="AB307" i="6"/>
  <c r="AC307" i="6"/>
  <c r="Z308" i="6"/>
  <c r="AA308" i="6"/>
  <c r="AB308" i="6"/>
  <c r="AC308" i="6"/>
  <c r="Z309" i="6"/>
  <c r="AA309" i="6"/>
  <c r="AB309" i="6"/>
  <c r="AC309" i="6"/>
  <c r="Z310" i="6"/>
  <c r="AA310" i="6"/>
  <c r="AB310" i="6"/>
  <c r="AC310" i="6"/>
  <c r="Z311" i="6"/>
  <c r="AA311" i="6"/>
  <c r="AB311" i="6"/>
  <c r="AC311" i="6"/>
  <c r="Z312" i="6"/>
  <c r="AA312" i="6"/>
  <c r="AB312" i="6"/>
  <c r="AC312" i="6"/>
  <c r="Z313" i="6"/>
  <c r="AA313" i="6"/>
  <c r="AB313" i="6"/>
  <c r="AC313" i="6"/>
  <c r="Z314" i="6"/>
  <c r="AA314" i="6"/>
  <c r="AB314" i="6"/>
  <c r="AC314" i="6"/>
  <c r="Z315" i="6"/>
  <c r="AA315" i="6"/>
  <c r="AB315" i="6"/>
  <c r="AC315" i="6"/>
  <c r="Z316" i="6"/>
  <c r="AA316" i="6"/>
  <c r="AB316" i="6"/>
  <c r="AC316" i="6"/>
  <c r="Z317" i="6"/>
  <c r="AA317" i="6"/>
  <c r="AB317" i="6"/>
  <c r="AC317" i="6"/>
  <c r="Z318" i="6"/>
  <c r="AA318" i="6"/>
  <c r="AB318" i="6"/>
  <c r="AC318" i="6"/>
  <c r="Z319" i="6"/>
  <c r="AA319" i="6"/>
  <c r="AB319" i="6"/>
  <c r="AC319" i="6"/>
  <c r="Z320" i="6"/>
  <c r="AA320" i="6"/>
  <c r="AB320" i="6"/>
  <c r="AC320" i="6"/>
  <c r="Z321" i="6"/>
  <c r="AA321" i="6"/>
  <c r="AB321" i="6"/>
  <c r="AC321" i="6"/>
  <c r="Z322" i="6"/>
  <c r="AA322" i="6"/>
  <c r="AB322" i="6"/>
  <c r="AC322" i="6"/>
  <c r="Z323" i="6"/>
  <c r="AA323" i="6"/>
  <c r="AB323" i="6"/>
  <c r="AC323" i="6"/>
  <c r="Z324" i="6"/>
  <c r="AA324" i="6"/>
  <c r="AB324" i="6"/>
  <c r="AC324" i="6"/>
  <c r="Z325" i="6"/>
  <c r="AA325" i="6"/>
  <c r="AB325" i="6"/>
  <c r="AC325" i="6"/>
  <c r="Z326" i="6"/>
  <c r="AA326" i="6"/>
  <c r="AB326" i="6"/>
  <c r="AC326" i="6"/>
  <c r="Z327" i="6"/>
  <c r="AA327" i="6"/>
  <c r="AB327" i="6"/>
  <c r="AC327" i="6"/>
  <c r="Z328" i="6"/>
  <c r="AA328" i="6"/>
  <c r="AB328" i="6"/>
  <c r="AC328" i="6"/>
  <c r="Z329" i="6"/>
  <c r="AA329" i="6"/>
  <c r="AB329" i="6"/>
  <c r="AC329" i="6"/>
  <c r="Z330" i="6"/>
  <c r="AA330" i="6"/>
  <c r="AB330" i="6"/>
  <c r="AC330" i="6"/>
  <c r="Z331" i="6"/>
  <c r="AA331" i="6"/>
  <c r="AB331" i="6"/>
  <c r="AC331" i="6"/>
  <c r="Z332" i="6"/>
  <c r="AA332" i="6"/>
  <c r="AB332" i="6"/>
  <c r="AC332" i="6"/>
  <c r="Z333" i="6"/>
  <c r="AA333" i="6"/>
  <c r="AB333" i="6"/>
  <c r="AC333" i="6"/>
  <c r="Z334" i="6"/>
  <c r="AA334" i="6"/>
  <c r="AB334" i="6"/>
  <c r="AC334" i="6"/>
  <c r="Z335" i="6"/>
  <c r="AA335" i="6"/>
  <c r="AB335" i="6"/>
  <c r="AC335" i="6"/>
  <c r="Z336" i="6"/>
  <c r="AA336" i="6"/>
  <c r="AB336" i="6"/>
  <c r="AC336" i="6"/>
  <c r="Z337" i="6"/>
  <c r="AA337" i="6"/>
  <c r="AB337" i="6"/>
  <c r="AC337" i="6"/>
  <c r="Z338" i="6"/>
  <c r="AA338" i="6"/>
  <c r="AB338" i="6"/>
  <c r="AC338" i="6"/>
  <c r="Z339" i="6"/>
  <c r="AA339" i="6"/>
  <c r="AB339" i="6"/>
  <c r="AC339" i="6"/>
  <c r="Z340" i="6"/>
  <c r="AA340" i="6"/>
  <c r="AB340" i="6"/>
  <c r="AC340" i="6"/>
  <c r="Z341" i="6"/>
  <c r="AA341" i="6"/>
  <c r="AB341" i="6"/>
  <c r="AC341" i="6"/>
  <c r="Z342" i="6"/>
  <c r="AA342" i="6"/>
  <c r="AB342" i="6"/>
  <c r="AC342" i="6"/>
  <c r="Z343" i="6"/>
  <c r="AA343" i="6"/>
  <c r="AB343" i="6"/>
  <c r="AC343" i="6"/>
  <c r="Z344" i="6"/>
  <c r="AA344" i="6"/>
  <c r="AB344" i="6"/>
  <c r="AC344" i="6"/>
  <c r="Z345" i="6"/>
  <c r="AA345" i="6"/>
  <c r="AB345" i="6"/>
  <c r="AC345" i="6"/>
  <c r="Z346" i="6"/>
  <c r="AA346" i="6"/>
  <c r="AB346" i="6"/>
  <c r="AC346" i="6"/>
  <c r="Z347" i="6"/>
  <c r="AA347" i="6"/>
  <c r="AB347" i="6"/>
  <c r="AC347" i="6"/>
  <c r="Z348" i="6"/>
  <c r="AA348" i="6"/>
  <c r="AB348" i="6"/>
  <c r="AC348" i="6"/>
  <c r="Z349" i="6"/>
  <c r="AA349" i="6"/>
  <c r="AB349" i="6"/>
  <c r="AC349" i="6"/>
  <c r="Z350" i="6"/>
  <c r="AA350" i="6"/>
  <c r="AB350" i="6"/>
  <c r="AC350" i="6"/>
  <c r="Z351" i="6"/>
  <c r="AA351" i="6"/>
  <c r="AB351" i="6"/>
  <c r="AC351" i="6"/>
  <c r="Z352" i="6"/>
  <c r="AA352" i="6"/>
  <c r="AB352" i="6"/>
  <c r="AC352" i="6"/>
  <c r="Z353" i="6"/>
  <c r="AA353" i="6"/>
  <c r="AB353" i="6"/>
  <c r="AC353" i="6"/>
  <c r="Z354" i="6"/>
  <c r="AA354" i="6"/>
  <c r="AB354" i="6"/>
  <c r="AC354" i="6"/>
  <c r="Z355" i="6"/>
  <c r="AA355" i="6"/>
  <c r="AB355" i="6"/>
  <c r="AC355" i="6"/>
  <c r="Z356" i="6"/>
  <c r="AA356" i="6"/>
  <c r="AB356" i="6"/>
  <c r="AC356" i="6"/>
  <c r="Z357" i="6"/>
  <c r="AA357" i="6"/>
  <c r="AB357" i="6"/>
  <c r="AC357" i="6"/>
  <c r="Z358" i="6"/>
  <c r="AA358" i="6"/>
  <c r="AB358" i="6"/>
  <c r="AC358" i="6"/>
  <c r="Z359" i="6"/>
  <c r="AA359" i="6"/>
  <c r="AB359" i="6"/>
  <c r="AC359" i="6"/>
  <c r="Z360" i="6"/>
  <c r="AA360" i="6"/>
  <c r="AB360" i="6"/>
  <c r="AC360" i="6"/>
  <c r="Z361" i="6"/>
  <c r="AA361" i="6"/>
  <c r="AB361" i="6"/>
  <c r="AC361" i="6"/>
  <c r="Z362" i="6"/>
  <c r="AA362" i="6"/>
  <c r="AB362" i="6"/>
  <c r="AC362" i="6"/>
  <c r="Z363" i="6"/>
  <c r="AA363" i="6"/>
  <c r="AB363" i="6"/>
  <c r="AC363" i="6"/>
  <c r="Z364" i="6"/>
  <c r="AA364" i="6"/>
  <c r="AB364" i="6"/>
  <c r="AC364" i="6"/>
  <c r="Z365" i="6"/>
  <c r="AA365" i="6"/>
  <c r="AB365" i="6"/>
  <c r="AC365" i="6"/>
  <c r="Z366" i="6"/>
  <c r="AA366" i="6"/>
  <c r="AB366" i="6"/>
  <c r="AC366" i="6"/>
  <c r="Z367" i="6"/>
  <c r="AA367" i="6"/>
  <c r="AB367" i="6"/>
  <c r="AC367" i="6"/>
  <c r="Z368" i="6"/>
  <c r="AA368" i="6"/>
  <c r="AB368" i="6"/>
  <c r="AC368" i="6"/>
  <c r="Z369" i="6"/>
  <c r="AA369" i="6"/>
  <c r="AB369" i="6"/>
  <c r="AC369" i="6"/>
  <c r="Z370" i="6"/>
  <c r="AA370" i="6"/>
  <c r="AB370" i="6"/>
  <c r="AC370" i="6"/>
  <c r="Z371" i="6"/>
  <c r="AA371" i="6"/>
  <c r="AB371" i="6"/>
  <c r="AC371" i="6"/>
  <c r="Z372" i="6"/>
  <c r="AA372" i="6"/>
  <c r="AB372" i="6"/>
  <c r="AC372" i="6"/>
  <c r="Z373" i="6"/>
  <c r="AA373" i="6"/>
  <c r="AB373" i="6"/>
  <c r="AC373" i="6"/>
  <c r="Z374" i="6"/>
  <c r="AA374" i="6"/>
  <c r="AB374" i="6"/>
  <c r="AC374" i="6"/>
  <c r="Z375" i="6"/>
  <c r="AA375" i="6"/>
  <c r="AB375" i="6"/>
  <c r="AC375" i="6"/>
  <c r="Z376" i="6"/>
  <c r="AA376" i="6"/>
  <c r="AB376" i="6"/>
  <c r="AC376" i="6"/>
  <c r="Z377" i="6"/>
  <c r="AA377" i="6"/>
  <c r="AB377" i="6"/>
  <c r="AC377" i="6"/>
  <c r="Z378" i="6"/>
  <c r="AA378" i="6"/>
  <c r="AB378" i="6"/>
  <c r="AC378" i="6"/>
  <c r="Z379" i="6"/>
  <c r="AA379" i="6"/>
  <c r="AB379" i="6"/>
  <c r="AC379" i="6"/>
  <c r="Z380" i="6"/>
  <c r="AA380" i="6"/>
  <c r="AB380" i="6"/>
  <c r="AC380" i="6"/>
  <c r="Z381" i="6"/>
  <c r="AA381" i="6"/>
  <c r="AB381" i="6"/>
  <c r="AC381" i="6"/>
  <c r="Z382" i="6"/>
  <c r="AA382" i="6"/>
  <c r="AB382" i="6"/>
  <c r="AC382" i="6"/>
  <c r="Z383" i="6"/>
  <c r="AA383" i="6"/>
  <c r="AB383" i="6"/>
  <c r="AC383" i="6"/>
  <c r="Z384" i="6"/>
  <c r="AA384" i="6"/>
  <c r="AB384" i="6"/>
  <c r="AC384" i="6"/>
  <c r="Z385" i="6"/>
  <c r="AA385" i="6"/>
  <c r="AB385" i="6"/>
  <c r="AC385" i="6"/>
  <c r="Z386" i="6"/>
  <c r="AA386" i="6"/>
  <c r="AB386" i="6"/>
  <c r="AC386" i="6"/>
  <c r="Z387" i="6"/>
  <c r="AA387" i="6"/>
  <c r="AB387" i="6"/>
  <c r="AC387" i="6"/>
  <c r="Z388" i="6"/>
  <c r="AA388" i="6"/>
  <c r="AB388" i="6"/>
  <c r="AC388" i="6"/>
  <c r="Z389" i="6"/>
  <c r="AA389" i="6"/>
  <c r="AB389" i="6"/>
  <c r="AC389" i="6"/>
  <c r="Z390" i="6"/>
  <c r="AA390" i="6"/>
  <c r="AB390" i="6"/>
  <c r="AC390" i="6"/>
  <c r="Z391" i="6"/>
  <c r="AA391" i="6"/>
  <c r="AB391" i="6"/>
  <c r="AC391" i="6"/>
  <c r="Z392" i="6"/>
  <c r="AA392" i="6"/>
  <c r="AB392" i="6"/>
  <c r="AC392" i="6"/>
  <c r="Z393" i="6"/>
  <c r="AA393" i="6"/>
  <c r="AB393" i="6"/>
  <c r="AC393" i="6"/>
  <c r="Z394" i="6"/>
  <c r="AA394" i="6"/>
  <c r="AB394" i="6"/>
  <c r="AC394" i="6"/>
  <c r="Z395" i="6"/>
  <c r="AA395" i="6"/>
  <c r="AB395" i="6"/>
  <c r="AC395" i="6"/>
  <c r="Z396" i="6"/>
  <c r="AA396" i="6"/>
  <c r="AB396" i="6"/>
  <c r="AC396" i="6"/>
  <c r="Z397" i="6"/>
  <c r="AA397" i="6"/>
  <c r="AB397" i="6"/>
  <c r="AC397" i="6"/>
  <c r="Z398" i="6"/>
  <c r="AA398" i="6"/>
  <c r="AB398" i="6"/>
  <c r="AC398" i="6"/>
  <c r="Z399" i="6"/>
  <c r="AA399" i="6"/>
  <c r="AB399" i="6"/>
  <c r="AC399" i="6"/>
  <c r="Z400" i="6"/>
  <c r="AA400" i="6"/>
  <c r="AB400" i="6"/>
  <c r="AC400" i="6"/>
  <c r="Z401" i="6"/>
  <c r="AA401" i="6"/>
  <c r="AB401" i="6"/>
  <c r="AC401" i="6"/>
  <c r="Z402" i="6"/>
  <c r="AA402" i="6"/>
  <c r="AB402" i="6"/>
  <c r="AC402" i="6"/>
  <c r="Z403" i="6"/>
  <c r="AA403" i="6"/>
  <c r="AB403" i="6"/>
  <c r="AC403" i="6"/>
  <c r="Z404" i="6"/>
  <c r="AA404" i="6"/>
  <c r="AB404" i="6"/>
  <c r="AC404" i="6"/>
  <c r="Z405" i="6"/>
  <c r="AA405" i="6"/>
  <c r="AB405" i="6"/>
  <c r="AC405" i="6"/>
  <c r="Z406" i="6"/>
  <c r="AA406" i="6"/>
  <c r="AB406" i="6"/>
  <c r="AC406" i="6"/>
  <c r="Z407" i="6"/>
  <c r="AA407" i="6"/>
  <c r="AB407" i="6"/>
  <c r="AC407" i="6"/>
  <c r="Z408" i="6"/>
  <c r="AA408" i="6"/>
  <c r="AB408" i="6"/>
  <c r="AC408" i="6"/>
  <c r="Z409" i="6"/>
  <c r="AA409" i="6"/>
  <c r="AB409" i="6"/>
  <c r="AC409" i="6"/>
  <c r="Z410" i="6"/>
  <c r="AA410" i="6"/>
  <c r="AB410" i="6"/>
  <c r="AC410" i="6"/>
  <c r="Z411" i="6"/>
  <c r="AA411" i="6"/>
  <c r="AB411" i="6"/>
  <c r="AC411" i="6"/>
  <c r="Z412" i="6"/>
  <c r="AA412" i="6"/>
  <c r="AB412" i="6"/>
  <c r="AC412" i="6"/>
  <c r="Z413" i="6"/>
  <c r="AA413" i="6"/>
  <c r="AB413" i="6"/>
  <c r="AC413" i="6"/>
  <c r="Z414" i="6"/>
  <c r="AA414" i="6"/>
  <c r="AB414" i="6"/>
  <c r="AC414" i="6"/>
  <c r="Z415" i="6"/>
  <c r="AA415" i="6"/>
  <c r="AB415" i="6"/>
  <c r="AC415" i="6"/>
  <c r="Z416" i="6"/>
  <c r="AA416" i="6"/>
  <c r="AB416" i="6"/>
  <c r="AC416" i="6"/>
  <c r="Z417" i="6"/>
  <c r="AA417" i="6"/>
  <c r="AB417" i="6"/>
  <c r="AC417" i="6"/>
  <c r="Z418" i="6"/>
  <c r="AA418" i="6"/>
  <c r="AB418" i="6"/>
  <c r="AC418" i="6"/>
  <c r="Z419" i="6"/>
  <c r="AA419" i="6"/>
  <c r="AB419" i="6"/>
  <c r="AC419" i="6"/>
  <c r="Z420" i="6"/>
  <c r="AA420" i="6"/>
  <c r="AB420" i="6"/>
  <c r="AC420" i="6"/>
  <c r="Z421" i="6"/>
  <c r="AA421" i="6"/>
  <c r="AB421" i="6"/>
  <c r="AC421" i="6"/>
  <c r="Z422" i="6"/>
  <c r="AA422" i="6"/>
  <c r="AB422" i="6"/>
  <c r="AC422" i="6"/>
  <c r="Z423" i="6"/>
  <c r="AA423" i="6"/>
  <c r="AB423" i="6"/>
  <c r="AC423" i="6"/>
  <c r="Z424" i="6"/>
  <c r="AA424" i="6"/>
  <c r="AB424" i="6"/>
  <c r="AC424" i="6"/>
  <c r="Z425" i="6"/>
  <c r="AA425" i="6"/>
  <c r="AB425" i="6"/>
  <c r="AC425" i="6"/>
  <c r="Z426" i="6"/>
  <c r="AA426" i="6"/>
  <c r="AB426" i="6"/>
  <c r="AC426" i="6"/>
  <c r="Z427" i="6"/>
  <c r="AA427" i="6"/>
  <c r="AB427" i="6"/>
  <c r="AC427" i="6"/>
  <c r="Z428" i="6"/>
  <c r="AA428" i="6"/>
  <c r="AB428" i="6"/>
  <c r="AC428" i="6"/>
  <c r="Z429" i="6"/>
  <c r="AA429" i="6"/>
  <c r="AB429" i="6"/>
  <c r="AC429" i="6"/>
  <c r="Z430" i="6"/>
  <c r="AA430" i="6"/>
  <c r="AB430" i="6"/>
  <c r="AC430" i="6"/>
  <c r="Z431" i="6"/>
  <c r="AA431" i="6"/>
  <c r="AB431" i="6"/>
  <c r="AC431" i="6"/>
  <c r="Z432" i="6"/>
  <c r="AA432" i="6"/>
  <c r="AB432" i="6"/>
  <c r="AC432" i="6"/>
  <c r="Z433" i="6"/>
  <c r="AA433" i="6"/>
  <c r="AB433" i="6"/>
  <c r="AC433" i="6"/>
  <c r="Z434" i="6"/>
  <c r="AA434" i="6"/>
  <c r="AB434" i="6"/>
  <c r="AC434" i="6"/>
  <c r="Z435" i="6"/>
  <c r="AA435" i="6"/>
  <c r="AB435" i="6"/>
  <c r="AC435" i="6"/>
  <c r="Z436" i="6"/>
  <c r="AA436" i="6"/>
  <c r="AB436" i="6"/>
  <c r="AC436" i="6"/>
  <c r="Z437" i="6"/>
  <c r="AA437" i="6"/>
  <c r="AB437" i="6"/>
  <c r="AC437" i="6"/>
  <c r="Z438" i="6"/>
  <c r="AA438" i="6"/>
  <c r="AB438" i="6"/>
  <c r="AC438" i="6"/>
  <c r="Z439" i="6"/>
  <c r="AA439" i="6"/>
  <c r="AB439" i="6"/>
  <c r="AC439" i="6"/>
  <c r="Z440" i="6"/>
  <c r="AA440" i="6"/>
  <c r="AB440" i="6"/>
  <c r="AC440" i="6"/>
  <c r="Z441" i="6"/>
  <c r="AA441" i="6"/>
  <c r="AB441" i="6"/>
  <c r="AC441" i="6"/>
  <c r="Z442" i="6"/>
  <c r="AA442" i="6"/>
  <c r="AB442" i="6"/>
  <c r="AC442" i="6"/>
  <c r="Z443" i="6"/>
  <c r="AA443" i="6"/>
  <c r="AB443" i="6"/>
  <c r="AC443" i="6"/>
  <c r="Z444" i="6"/>
  <c r="AA444" i="6"/>
  <c r="AB444" i="6"/>
  <c r="AC444" i="6"/>
  <c r="Z445" i="6"/>
  <c r="AA445" i="6"/>
  <c r="AB445" i="6"/>
  <c r="AC445" i="6"/>
  <c r="Z446" i="6"/>
  <c r="AA446" i="6"/>
  <c r="AB446" i="6"/>
  <c r="AC446" i="6"/>
  <c r="Z447" i="6"/>
  <c r="AA447" i="6"/>
  <c r="AB447" i="6"/>
  <c r="AC447" i="6"/>
  <c r="Z448" i="6"/>
  <c r="AA448" i="6"/>
  <c r="AB448" i="6"/>
  <c r="AC448" i="6"/>
  <c r="Z449" i="6"/>
  <c r="AA449" i="6"/>
  <c r="AB449" i="6"/>
  <c r="AC449" i="6"/>
  <c r="Z450" i="6"/>
  <c r="AA450" i="6"/>
  <c r="AB450" i="6"/>
  <c r="AC450" i="6"/>
  <c r="Z451" i="6"/>
  <c r="AA451" i="6"/>
  <c r="AB451" i="6"/>
  <c r="AC451" i="6"/>
  <c r="Z452" i="6"/>
  <c r="AA452" i="6"/>
  <c r="AB452" i="6"/>
  <c r="AC452" i="6"/>
  <c r="Z453" i="6"/>
  <c r="AA453" i="6"/>
  <c r="AB453" i="6"/>
  <c r="AC453" i="6"/>
  <c r="Z454" i="6"/>
  <c r="AA454" i="6"/>
  <c r="AB454" i="6"/>
  <c r="AC454" i="6"/>
  <c r="Z455" i="6"/>
  <c r="AA455" i="6"/>
  <c r="AB455" i="6"/>
  <c r="AC455" i="6"/>
  <c r="Z456" i="6"/>
  <c r="AA456" i="6"/>
  <c r="AB456" i="6"/>
  <c r="AC456" i="6"/>
  <c r="Z457" i="6"/>
  <c r="AA457" i="6"/>
  <c r="AB457" i="6"/>
  <c r="AC457" i="6"/>
  <c r="Z458" i="6"/>
  <c r="AA458" i="6"/>
  <c r="AB458" i="6"/>
  <c r="AC458" i="6"/>
  <c r="Z459" i="6"/>
  <c r="AA459" i="6"/>
  <c r="AB459" i="6"/>
  <c r="AC459" i="6"/>
  <c r="Z460" i="6"/>
  <c r="AA460" i="6"/>
  <c r="AB460" i="6"/>
  <c r="AC460" i="6"/>
  <c r="Z461" i="6"/>
  <c r="AA461" i="6"/>
  <c r="AB461" i="6"/>
  <c r="AC461" i="6"/>
  <c r="Z462" i="6"/>
  <c r="AA462" i="6"/>
  <c r="AB462" i="6"/>
  <c r="AC462" i="6"/>
  <c r="Z463" i="6"/>
  <c r="AA463" i="6"/>
  <c r="AB463" i="6"/>
  <c r="AC463" i="6"/>
  <c r="Z464" i="6"/>
  <c r="AA464" i="6"/>
  <c r="AB464" i="6"/>
  <c r="AC464" i="6"/>
  <c r="Z465" i="6"/>
  <c r="AA465" i="6"/>
  <c r="AB465" i="6"/>
  <c r="AC465" i="6"/>
  <c r="Z466" i="6"/>
  <c r="AA466" i="6"/>
  <c r="AB466" i="6"/>
  <c r="AC466" i="6"/>
  <c r="Z467" i="6"/>
  <c r="AA467" i="6"/>
  <c r="AB467" i="6"/>
  <c r="AC467" i="6"/>
  <c r="Z468" i="6"/>
  <c r="AA468" i="6"/>
  <c r="AB468" i="6"/>
  <c r="AC468" i="6"/>
  <c r="Z469" i="6"/>
  <c r="AA469" i="6"/>
  <c r="AB469" i="6"/>
  <c r="AC469" i="6"/>
  <c r="Z470" i="6"/>
  <c r="AA470" i="6"/>
  <c r="AB470" i="6"/>
  <c r="AC470" i="6"/>
  <c r="Z471" i="6"/>
  <c r="AA471" i="6"/>
  <c r="AB471" i="6"/>
  <c r="AC471" i="6"/>
  <c r="Z472" i="6"/>
  <c r="AA472" i="6"/>
  <c r="AB472" i="6"/>
  <c r="AC472" i="6"/>
  <c r="Z473" i="6"/>
  <c r="AA473" i="6"/>
  <c r="AB473" i="6"/>
  <c r="AC473" i="6"/>
  <c r="Z474" i="6"/>
  <c r="AA474" i="6"/>
  <c r="AB474" i="6"/>
  <c r="AC474" i="6"/>
  <c r="Z475" i="6"/>
  <c r="AA475" i="6"/>
  <c r="AB475" i="6"/>
  <c r="AC475" i="6"/>
  <c r="Z476" i="6"/>
  <c r="AA476" i="6"/>
  <c r="AB476" i="6"/>
  <c r="AC476" i="6"/>
  <c r="Z477" i="6"/>
  <c r="AA477" i="6"/>
  <c r="AB477" i="6"/>
  <c r="AC477" i="6"/>
  <c r="Z478" i="6"/>
  <c r="AA478" i="6"/>
  <c r="AB478" i="6"/>
  <c r="AC478" i="6"/>
  <c r="Z479" i="6"/>
  <c r="AA479" i="6"/>
  <c r="AB479" i="6"/>
  <c r="AC479" i="6"/>
  <c r="Z480" i="6"/>
  <c r="AA480" i="6"/>
  <c r="AB480" i="6"/>
  <c r="AC480" i="6"/>
  <c r="Z481" i="6"/>
  <c r="AA481" i="6"/>
  <c r="AB481" i="6"/>
  <c r="AC481" i="6"/>
  <c r="Z482" i="6"/>
  <c r="AA482" i="6"/>
  <c r="AB482" i="6"/>
  <c r="AC482" i="6"/>
  <c r="Z483" i="6"/>
  <c r="AA483" i="6"/>
  <c r="AB483" i="6"/>
  <c r="AC483" i="6"/>
  <c r="Z484" i="6"/>
  <c r="AA484" i="6"/>
  <c r="AB484" i="6"/>
  <c r="AC484" i="6"/>
  <c r="Z485" i="6"/>
  <c r="AA485" i="6"/>
  <c r="AB485" i="6"/>
  <c r="AC485" i="6"/>
  <c r="Z486" i="6"/>
  <c r="AA486" i="6"/>
  <c r="AB486" i="6"/>
  <c r="AC486" i="6"/>
  <c r="Z487" i="6"/>
  <c r="AA487" i="6"/>
  <c r="AB487" i="6"/>
  <c r="AC487" i="6"/>
  <c r="AC3" i="6"/>
  <c r="AB3" i="6"/>
  <c r="AA3" i="6"/>
  <c r="Z3" i="6"/>
  <c r="AW3" i="6"/>
  <c r="AV3" i="6"/>
  <c r="AU3" i="6"/>
  <c r="AT3" i="6"/>
  <c r="AS3" i="6"/>
  <c r="AR3" i="6"/>
  <c r="AQ3" i="6"/>
  <c r="AP3" i="6"/>
  <c r="AO3" i="6"/>
  <c r="AN3" i="6"/>
  <c r="AM3" i="6"/>
  <c r="AL3" i="6"/>
  <c r="AK3" i="6"/>
  <c r="AJ3" i="6"/>
  <c r="AI3" i="6"/>
  <c r="AH3" i="6"/>
  <c r="X488" i="6"/>
  <c r="I136" i="7" l="1"/>
  <c r="I141" i="7"/>
  <c r="AB488" i="6"/>
  <c r="F504" i="6" s="1"/>
  <c r="AD488" i="6"/>
  <c r="D505" i="6" s="1"/>
  <c r="AF488" i="6"/>
  <c r="F505" i="6" s="1"/>
  <c r="Z488" i="6"/>
  <c r="D504" i="6" s="1"/>
  <c r="AC488" i="6"/>
  <c r="G504" i="6" s="1"/>
  <c r="AG488" i="6"/>
  <c r="G505" i="6" s="1"/>
  <c r="AE488" i="6"/>
  <c r="E505" i="6" s="1"/>
  <c r="AA488" i="6"/>
  <c r="E504" i="6" s="1"/>
  <c r="H506" i="6"/>
  <c r="H507" i="6"/>
  <c r="H508" i="6"/>
  <c r="H509" i="6"/>
  <c r="B3" i="7"/>
  <c r="A3" i="7"/>
  <c r="B2" i="7"/>
  <c r="A2" i="7"/>
  <c r="B3" i="5"/>
  <c r="A3" i="5"/>
  <c r="B2" i="5"/>
  <c r="A2" i="5"/>
  <c r="F510" i="6" l="1"/>
  <c r="D510" i="6"/>
  <c r="H505" i="6"/>
  <c r="G510" i="6"/>
  <c r="H504" i="6"/>
  <c r="AH488" i="6"/>
  <c r="E510" i="6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D17" i="3"/>
  <c r="N17" i="3" s="1"/>
  <c r="CR17" i="3" s="1"/>
  <c r="F17" i="3"/>
  <c r="D18" i="3"/>
  <c r="F18" i="3"/>
  <c r="D19" i="3"/>
  <c r="N19" i="3" s="1"/>
  <c r="CT19" i="3" s="1"/>
  <c r="F19" i="3"/>
  <c r="D20" i="3"/>
  <c r="F20" i="3"/>
  <c r="D21" i="3"/>
  <c r="N21" i="3" s="1"/>
  <c r="CT21" i="3" s="1"/>
  <c r="F21" i="3"/>
  <c r="D22" i="3"/>
  <c r="F22" i="3"/>
  <c r="D23" i="3"/>
  <c r="N23" i="3" s="1"/>
  <c r="CT23" i="3" s="1"/>
  <c r="F23" i="3"/>
  <c r="D24" i="3"/>
  <c r="F24" i="3"/>
  <c r="D25" i="3"/>
  <c r="N25" i="3" s="1"/>
  <c r="CU25" i="3" s="1"/>
  <c r="F25" i="3"/>
  <c r="D26" i="3"/>
  <c r="F26" i="3"/>
  <c r="D27" i="3"/>
  <c r="N27" i="3" s="1"/>
  <c r="CT27" i="3" s="1"/>
  <c r="F27" i="3"/>
  <c r="D28" i="3"/>
  <c r="F28" i="3"/>
  <c r="D29" i="3"/>
  <c r="N29" i="3" s="1"/>
  <c r="CR29" i="3" s="1"/>
  <c r="F29" i="3"/>
  <c r="D30" i="3"/>
  <c r="F30" i="3"/>
  <c r="D31" i="3"/>
  <c r="N31" i="3" s="1"/>
  <c r="CR31" i="3" s="1"/>
  <c r="F31" i="3"/>
  <c r="D32" i="3"/>
  <c r="F32" i="3"/>
  <c r="D33" i="3"/>
  <c r="N33" i="3" s="1"/>
  <c r="CR33" i="3" s="1"/>
  <c r="F33" i="3"/>
  <c r="D34" i="3"/>
  <c r="F34" i="3"/>
  <c r="D35" i="3"/>
  <c r="N35" i="3" s="1"/>
  <c r="CR35" i="3" s="1"/>
  <c r="F35" i="3"/>
  <c r="D36" i="3"/>
  <c r="F36" i="3"/>
  <c r="D37" i="3"/>
  <c r="N37" i="3" s="1"/>
  <c r="CT37" i="3" s="1"/>
  <c r="F37" i="3"/>
  <c r="D38" i="3"/>
  <c r="F38" i="3"/>
  <c r="D39" i="3"/>
  <c r="N39" i="3" s="1"/>
  <c r="CR39" i="3" s="1"/>
  <c r="F39" i="3"/>
  <c r="D40" i="3"/>
  <c r="F40" i="3"/>
  <c r="D41" i="3"/>
  <c r="N41" i="3" s="1"/>
  <c r="CR41" i="3" s="1"/>
  <c r="F41" i="3"/>
  <c r="D42" i="3"/>
  <c r="F42" i="3"/>
  <c r="D43" i="3"/>
  <c r="N43" i="3" s="1"/>
  <c r="CT43" i="3" s="1"/>
  <c r="F43" i="3"/>
  <c r="D44" i="3"/>
  <c r="F44" i="3"/>
  <c r="D45" i="3"/>
  <c r="N45" i="3" s="1"/>
  <c r="CT45" i="3" s="1"/>
  <c r="F45" i="3"/>
  <c r="D46" i="3"/>
  <c r="F46" i="3"/>
  <c r="D47" i="3"/>
  <c r="N47" i="3" s="1"/>
  <c r="CT47" i="3" s="1"/>
  <c r="F47" i="3"/>
  <c r="D48" i="3"/>
  <c r="F48" i="3"/>
  <c r="D49" i="3"/>
  <c r="N49" i="3" s="1"/>
  <c r="CR49" i="3" s="1"/>
  <c r="F49" i="3"/>
  <c r="D50" i="3"/>
  <c r="F50" i="3"/>
  <c r="D51" i="3"/>
  <c r="N51" i="3" s="1"/>
  <c r="CT51" i="3" s="1"/>
  <c r="F51" i="3"/>
  <c r="D52" i="3"/>
  <c r="F52" i="3"/>
  <c r="D53" i="3"/>
  <c r="N53" i="3" s="1"/>
  <c r="CT53" i="3" s="1"/>
  <c r="F53" i="3"/>
  <c r="D54" i="3"/>
  <c r="F54" i="3"/>
  <c r="D55" i="3"/>
  <c r="N55" i="3" s="1"/>
  <c r="CT55" i="3" s="1"/>
  <c r="F55" i="3"/>
  <c r="D56" i="3"/>
  <c r="F56" i="3"/>
  <c r="D57" i="3"/>
  <c r="N57" i="3" s="1"/>
  <c r="CR57" i="3" s="1"/>
  <c r="F57" i="3"/>
  <c r="D58" i="3"/>
  <c r="F58" i="3"/>
  <c r="D59" i="3"/>
  <c r="N59" i="3" s="1"/>
  <c r="CT59" i="3" s="1"/>
  <c r="F59" i="3"/>
  <c r="D60" i="3"/>
  <c r="F60" i="3"/>
  <c r="D61" i="3"/>
  <c r="N61" i="3" s="1"/>
  <c r="CT61" i="3" s="1"/>
  <c r="F61" i="3"/>
  <c r="D62" i="3"/>
  <c r="F62" i="3"/>
  <c r="D63" i="3"/>
  <c r="N63" i="3" s="1"/>
  <c r="CT63" i="3" s="1"/>
  <c r="F63" i="3"/>
  <c r="D64" i="3"/>
  <c r="F64" i="3"/>
  <c r="D65" i="3"/>
  <c r="N65" i="3" s="1"/>
  <c r="CT65" i="3" s="1"/>
  <c r="F65" i="3"/>
  <c r="D66" i="3"/>
  <c r="F66" i="3"/>
  <c r="D67" i="3"/>
  <c r="N67" i="3" s="1"/>
  <c r="CU67" i="3" s="1"/>
  <c r="F67" i="3"/>
  <c r="D68" i="3"/>
  <c r="F68" i="3"/>
  <c r="D69" i="3"/>
  <c r="N69" i="3" s="1"/>
  <c r="CT69" i="3" s="1"/>
  <c r="F69" i="3"/>
  <c r="D70" i="3"/>
  <c r="F70" i="3"/>
  <c r="D71" i="3"/>
  <c r="F71" i="3"/>
  <c r="D72" i="3"/>
  <c r="F72" i="3"/>
  <c r="D73" i="3"/>
  <c r="N73" i="3" s="1"/>
  <c r="CR73" i="3" s="1"/>
  <c r="F73" i="3"/>
  <c r="D74" i="3"/>
  <c r="F74" i="3"/>
  <c r="D75" i="3"/>
  <c r="N75" i="3" s="1"/>
  <c r="CR75" i="3" s="1"/>
  <c r="F75" i="3"/>
  <c r="D76" i="3"/>
  <c r="F76" i="3"/>
  <c r="D77" i="3"/>
  <c r="N77" i="3" s="1"/>
  <c r="CT77" i="3" s="1"/>
  <c r="F77" i="3"/>
  <c r="D78" i="3"/>
  <c r="F78" i="3"/>
  <c r="D79" i="3"/>
  <c r="N79" i="3" s="1"/>
  <c r="CU79" i="3" s="1"/>
  <c r="F79" i="3"/>
  <c r="D80" i="3"/>
  <c r="F80" i="3"/>
  <c r="D81" i="3"/>
  <c r="N81" i="3" s="1"/>
  <c r="CT81" i="3" s="1"/>
  <c r="F81" i="3"/>
  <c r="D82" i="3"/>
  <c r="F82" i="3"/>
  <c r="D83" i="3"/>
  <c r="N83" i="3" s="1"/>
  <c r="CT83" i="3" s="1"/>
  <c r="F83" i="3"/>
  <c r="D84" i="3"/>
  <c r="F84" i="3"/>
  <c r="D85" i="3"/>
  <c r="N85" i="3" s="1"/>
  <c r="CU85" i="3" s="1"/>
  <c r="F85" i="3"/>
  <c r="D86" i="3"/>
  <c r="F86" i="3"/>
  <c r="D87" i="3"/>
  <c r="N87" i="3" s="1"/>
  <c r="CR87" i="3" s="1"/>
  <c r="F87" i="3"/>
  <c r="D88" i="3"/>
  <c r="F88" i="3"/>
  <c r="D89" i="3"/>
  <c r="N89" i="3" s="1"/>
  <c r="CR89" i="3" s="1"/>
  <c r="F89" i="3"/>
  <c r="D90" i="3"/>
  <c r="F90" i="3"/>
  <c r="D91" i="3"/>
  <c r="N91" i="3" s="1"/>
  <c r="CR91" i="3" s="1"/>
  <c r="F91" i="3"/>
  <c r="D92" i="3"/>
  <c r="F92" i="3"/>
  <c r="D93" i="3"/>
  <c r="N93" i="3" s="1"/>
  <c r="CR93" i="3" s="1"/>
  <c r="F93" i="3"/>
  <c r="D94" i="3"/>
  <c r="F94" i="3"/>
  <c r="E106" i="1"/>
  <c r="E54" i="3" s="1"/>
  <c r="E105" i="1"/>
  <c r="G74" i="3" s="1"/>
  <c r="E104" i="1"/>
  <c r="G18" i="3" s="1"/>
  <c r="E103" i="1"/>
  <c r="G86" i="3" s="1"/>
  <c r="E102" i="1"/>
  <c r="E101" i="1"/>
  <c r="E100" i="1"/>
  <c r="E41" i="3" s="1"/>
  <c r="E99" i="1"/>
  <c r="E40" i="3" s="1"/>
  <c r="E98" i="1"/>
  <c r="E97" i="1"/>
  <c r="E89" i="3" s="1"/>
  <c r="E96" i="1"/>
  <c r="E71" i="3" s="1"/>
  <c r="E95" i="1"/>
  <c r="E72" i="3" s="1"/>
  <c r="E94" i="1"/>
  <c r="E70" i="3" s="1"/>
  <c r="E93" i="1"/>
  <c r="E73" i="3" s="1"/>
  <c r="E92" i="1"/>
  <c r="E69" i="3" s="1"/>
  <c r="E91" i="1"/>
  <c r="E68" i="3" s="1"/>
  <c r="E90" i="1"/>
  <c r="E67" i="3" s="1"/>
  <c r="E89" i="1"/>
  <c r="E66" i="3" s="1"/>
  <c r="E88" i="1"/>
  <c r="E65" i="3" s="1"/>
  <c r="E87" i="1"/>
  <c r="G93" i="3" s="1"/>
  <c r="E86" i="1"/>
  <c r="G92" i="3" s="1"/>
  <c r="E85" i="1"/>
  <c r="E92" i="3" s="1"/>
  <c r="E84" i="1"/>
  <c r="E83" i="1"/>
  <c r="E82" i="1"/>
  <c r="G89" i="3" s="1"/>
  <c r="E81" i="1"/>
  <c r="G88" i="3" s="1"/>
  <c r="E80" i="1"/>
  <c r="E88" i="3" s="1"/>
  <c r="E79" i="1"/>
  <c r="E87" i="3" s="1"/>
  <c r="E78" i="1"/>
  <c r="E62" i="3" s="1"/>
  <c r="E77" i="1"/>
  <c r="E64" i="3" s="1"/>
  <c r="E76" i="1"/>
  <c r="E63" i="3" s="1"/>
  <c r="E75" i="1"/>
  <c r="E61" i="3" s="1"/>
  <c r="E74" i="1"/>
  <c r="E60" i="3" s="1"/>
  <c r="E73" i="1"/>
  <c r="E59" i="3" s="1"/>
  <c r="E72" i="1"/>
  <c r="E71" i="1"/>
  <c r="E57" i="3" s="1"/>
  <c r="E70" i="1"/>
  <c r="E58" i="3" s="1"/>
  <c r="E69" i="1"/>
  <c r="E56" i="3" s="1"/>
  <c r="E68" i="1"/>
  <c r="E55" i="3" s="1"/>
  <c r="E67" i="1"/>
  <c r="E53" i="3" s="1"/>
  <c r="E66" i="1"/>
  <c r="E49" i="3" s="1"/>
  <c r="E65" i="1"/>
  <c r="E51" i="3" s="1"/>
  <c r="E64" i="1"/>
  <c r="E50" i="3" s="1"/>
  <c r="E63" i="1"/>
  <c r="G47" i="3" s="1"/>
  <c r="E62" i="1"/>
  <c r="E61" i="1"/>
  <c r="E44" i="3" s="1"/>
  <c r="E60" i="1"/>
  <c r="E59" i="1"/>
  <c r="E47" i="3" s="1"/>
  <c r="E58" i="1"/>
  <c r="E57" i="1"/>
  <c r="E45" i="3" s="1"/>
  <c r="E56" i="1"/>
  <c r="E55" i="1"/>
  <c r="E46" i="3" s="1"/>
  <c r="E54" i="1"/>
  <c r="E43" i="3" s="1"/>
  <c r="E53" i="1"/>
  <c r="E37" i="3" s="1"/>
  <c r="E52" i="1"/>
  <c r="E42" i="3" s="1"/>
  <c r="E51" i="1"/>
  <c r="E39" i="3" s="1"/>
  <c r="E50" i="1"/>
  <c r="E38" i="3" s="1"/>
  <c r="E49" i="1"/>
  <c r="E18" i="3" s="1"/>
  <c r="E48" i="1"/>
  <c r="E17" i="3" s="1"/>
  <c r="E47" i="1"/>
  <c r="E36" i="3" s="1"/>
  <c r="E46" i="1"/>
  <c r="E35" i="3" s="1"/>
  <c r="E45" i="1"/>
  <c r="E34" i="3" s="1"/>
  <c r="E44" i="1"/>
  <c r="E20" i="3" s="1"/>
  <c r="E43" i="1"/>
  <c r="E23" i="3" s="1"/>
  <c r="E42" i="1"/>
  <c r="E22" i="3" s="1"/>
  <c r="E41" i="1"/>
  <c r="E21" i="3" s="1"/>
  <c r="E40" i="1"/>
  <c r="E33" i="3" s="1"/>
  <c r="E39" i="1"/>
  <c r="E32" i="3" s="1"/>
  <c r="E38" i="1"/>
  <c r="E31" i="3" s="1"/>
  <c r="E37" i="1"/>
  <c r="E30" i="3" s="1"/>
  <c r="E36" i="1"/>
  <c r="E29" i="3" s="1"/>
  <c r="E35" i="1"/>
  <c r="E27" i="3" s="1"/>
  <c r="E34" i="1"/>
  <c r="E26" i="3" s="1"/>
  <c r="E33" i="1"/>
  <c r="E28" i="3" s="1"/>
  <c r="E32" i="1"/>
  <c r="E25" i="3" s="1"/>
  <c r="E31" i="1"/>
  <c r="E24" i="3" s="1"/>
  <c r="E30" i="1"/>
  <c r="E19" i="3" s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83" i="3" s="1"/>
  <c r="E12" i="1"/>
  <c r="E82" i="3" s="1"/>
  <c r="E11" i="1"/>
  <c r="E77" i="3" s="1"/>
  <c r="E10" i="1"/>
  <c r="E81" i="3" s="1"/>
  <c r="E9" i="1"/>
  <c r="E84" i="3" s="1"/>
  <c r="E8" i="1"/>
  <c r="E78" i="3" s="1"/>
  <c r="E7" i="1"/>
  <c r="E6" i="1"/>
  <c r="E86" i="3" s="1"/>
  <c r="E5" i="1"/>
  <c r="E85" i="3" s="1"/>
  <c r="E4" i="1"/>
  <c r="E76" i="3" s="1"/>
  <c r="E3" i="1"/>
  <c r="N71" i="3" l="1"/>
  <c r="CT71" i="3" s="1"/>
  <c r="E227" i="5"/>
  <c r="E227" i="7"/>
  <c r="E226" i="5"/>
  <c r="E226" i="7"/>
  <c r="N94" i="3"/>
  <c r="CR94" i="3" s="1"/>
  <c r="N92" i="3"/>
  <c r="CR92" i="3" s="1"/>
  <c r="N90" i="3"/>
  <c r="CR90" i="3" s="1"/>
  <c r="N88" i="3"/>
  <c r="CR88" i="3" s="1"/>
  <c r="N86" i="3"/>
  <c r="CR86" i="3" s="1"/>
  <c r="N84" i="3"/>
  <c r="CR84" i="3" s="1"/>
  <c r="N82" i="3"/>
  <c r="CT82" i="3" s="1"/>
  <c r="N80" i="3"/>
  <c r="CT80" i="3" s="1"/>
  <c r="N78" i="3"/>
  <c r="CT78" i="3" s="1"/>
  <c r="N76" i="3"/>
  <c r="CR76" i="3" s="1"/>
  <c r="N74" i="3"/>
  <c r="CR74" i="3" s="1"/>
  <c r="N72" i="3"/>
  <c r="CR72" i="3" s="1"/>
  <c r="N70" i="3"/>
  <c r="CT70" i="3" s="1"/>
  <c r="N68" i="3"/>
  <c r="CT68" i="3" s="1"/>
  <c r="N66" i="3"/>
  <c r="CU66" i="3" s="1"/>
  <c r="N64" i="3"/>
  <c r="CT64" i="3" s="1"/>
  <c r="N62" i="3"/>
  <c r="CT62" i="3" s="1"/>
  <c r="N60" i="3"/>
  <c r="CT60" i="3" s="1"/>
  <c r="N58" i="3"/>
  <c r="CR58" i="3" s="1"/>
  <c r="N56" i="3"/>
  <c r="CT56" i="3" s="1"/>
  <c r="N54" i="3"/>
  <c r="CT54" i="3" s="1"/>
  <c r="N52" i="3"/>
  <c r="CT52" i="3" s="1"/>
  <c r="N50" i="3"/>
  <c r="CT50" i="3" s="1"/>
  <c r="N48" i="3"/>
  <c r="CT48" i="3" s="1"/>
  <c r="N46" i="3"/>
  <c r="CT46" i="3" s="1"/>
  <c r="N44" i="3"/>
  <c r="CT44" i="3" s="1"/>
  <c r="N42" i="3"/>
  <c r="CT42" i="3" s="1"/>
  <c r="N40" i="3"/>
  <c r="CU40" i="3" s="1"/>
  <c r="N38" i="3"/>
  <c r="CR38" i="3" s="1"/>
  <c r="N36" i="3"/>
  <c r="CR36" i="3" s="1"/>
  <c r="N34" i="3"/>
  <c r="CR34" i="3" s="1"/>
  <c r="N32" i="3"/>
  <c r="CR32" i="3" s="1"/>
  <c r="N30" i="3"/>
  <c r="CR30" i="3" s="1"/>
  <c r="N28" i="3"/>
  <c r="CT28" i="3" s="1"/>
  <c r="N26" i="3"/>
  <c r="CT26" i="3" s="1"/>
  <c r="N24" i="3"/>
  <c r="CU24" i="3" s="1"/>
  <c r="N22" i="3"/>
  <c r="CR22" i="3" s="1"/>
  <c r="N20" i="3"/>
  <c r="CT20" i="3" s="1"/>
  <c r="N18" i="3"/>
  <c r="CR18" i="3" s="1"/>
  <c r="H510" i="6"/>
  <c r="E209" i="7" s="1"/>
  <c r="E94" i="3"/>
  <c r="G60" i="3"/>
  <c r="K60" i="3" s="1"/>
  <c r="G52" i="3"/>
  <c r="G43" i="3"/>
  <c r="J43" i="3" s="1"/>
  <c r="E91" i="3"/>
  <c r="G87" i="3"/>
  <c r="J87" i="3" s="1"/>
  <c r="G80" i="3"/>
  <c r="G75" i="3"/>
  <c r="G68" i="3"/>
  <c r="L68" i="3" s="1"/>
  <c r="G39" i="3"/>
  <c r="J39" i="3" s="1"/>
  <c r="G32" i="3"/>
  <c r="L32" i="3" s="1"/>
  <c r="G71" i="3"/>
  <c r="J71" i="3" s="1"/>
  <c r="G59" i="3"/>
  <c r="H59" i="3" s="1"/>
  <c r="G48" i="3"/>
  <c r="G40" i="3"/>
  <c r="H40" i="3" s="1"/>
  <c r="G35" i="3"/>
  <c r="J35" i="3" s="1"/>
  <c r="G23" i="3"/>
  <c r="H23" i="3" s="1"/>
  <c r="G24" i="3"/>
  <c r="L24" i="3" s="1"/>
  <c r="G19" i="3"/>
  <c r="J19" i="3" s="1"/>
  <c r="E93" i="3"/>
  <c r="L93" i="3" s="1"/>
  <c r="G84" i="3"/>
  <c r="H84" i="3" s="1"/>
  <c r="G79" i="3"/>
  <c r="G67" i="3"/>
  <c r="H67" i="3" s="1"/>
  <c r="G44" i="3"/>
  <c r="H44" i="3" s="1"/>
  <c r="G31" i="3"/>
  <c r="L31" i="3" s="1"/>
  <c r="G83" i="3"/>
  <c r="J83" i="3" s="1"/>
  <c r="G76" i="3"/>
  <c r="H76" i="3" s="1"/>
  <c r="G56" i="3"/>
  <c r="K56" i="3" s="1"/>
  <c r="G20" i="3"/>
  <c r="H20" i="3" s="1"/>
  <c r="E74" i="3"/>
  <c r="L74" i="3" s="1"/>
  <c r="E75" i="3"/>
  <c r="E79" i="3"/>
  <c r="E80" i="3"/>
  <c r="E48" i="3"/>
  <c r="L48" i="3" s="1"/>
  <c r="E52" i="3"/>
  <c r="H52" i="3" s="1"/>
  <c r="G94" i="3"/>
  <c r="J94" i="3" s="1"/>
  <c r="G91" i="3"/>
  <c r="G90" i="3"/>
  <c r="G85" i="3"/>
  <c r="J85" i="3" s="1"/>
  <c r="G81" i="3"/>
  <c r="H81" i="3" s="1"/>
  <c r="G77" i="3"/>
  <c r="K77" i="3" s="1"/>
  <c r="G73" i="3"/>
  <c r="H73" i="3" s="1"/>
  <c r="G69" i="3"/>
  <c r="H69" i="3" s="1"/>
  <c r="G65" i="3"/>
  <c r="J65" i="3" s="1"/>
  <c r="G61" i="3"/>
  <c r="H61" i="3" s="1"/>
  <c r="G57" i="3"/>
  <c r="H57" i="3" s="1"/>
  <c r="G53" i="3"/>
  <c r="K53" i="3" s="1"/>
  <c r="G49" i="3"/>
  <c r="J49" i="3" s="1"/>
  <c r="G45" i="3"/>
  <c r="H45" i="3" s="1"/>
  <c r="G41" i="3"/>
  <c r="H41" i="3" s="1"/>
  <c r="G37" i="3"/>
  <c r="H37" i="3" s="1"/>
  <c r="G33" i="3"/>
  <c r="H33" i="3" s="1"/>
  <c r="G29" i="3"/>
  <c r="H29" i="3" s="1"/>
  <c r="G25" i="3"/>
  <c r="H25" i="3" s="1"/>
  <c r="G21" i="3"/>
  <c r="L21" i="3" s="1"/>
  <c r="G17" i="3"/>
  <c r="J17" i="3" s="1"/>
  <c r="E90" i="3"/>
  <c r="G63" i="3"/>
  <c r="H63" i="3" s="1"/>
  <c r="G55" i="3"/>
  <c r="J55" i="3" s="1"/>
  <c r="G51" i="3"/>
  <c r="K51" i="3" s="1"/>
  <c r="G27" i="3"/>
  <c r="L27" i="3" s="1"/>
  <c r="G72" i="3"/>
  <c r="H72" i="3" s="1"/>
  <c r="G64" i="3"/>
  <c r="H64" i="3" s="1"/>
  <c r="G36" i="3"/>
  <c r="L36" i="3" s="1"/>
  <c r="G28" i="3"/>
  <c r="J28" i="3" s="1"/>
  <c r="G82" i="3"/>
  <c r="L82" i="3" s="1"/>
  <c r="G78" i="3"/>
  <c r="J78" i="3" s="1"/>
  <c r="G70" i="3"/>
  <c r="L70" i="3" s="1"/>
  <c r="G66" i="3"/>
  <c r="H66" i="3" s="1"/>
  <c r="G62" i="3"/>
  <c r="L62" i="3" s="1"/>
  <c r="G58" i="3"/>
  <c r="J58" i="3" s="1"/>
  <c r="G54" i="3"/>
  <c r="K54" i="3" s="1"/>
  <c r="G50" i="3"/>
  <c r="J50" i="3" s="1"/>
  <c r="G46" i="3"/>
  <c r="H46" i="3" s="1"/>
  <c r="G42" i="3"/>
  <c r="K42" i="3" s="1"/>
  <c r="G38" i="3"/>
  <c r="K38" i="3" s="1"/>
  <c r="G34" i="3"/>
  <c r="J34" i="3" s="1"/>
  <c r="G30" i="3"/>
  <c r="H30" i="3" s="1"/>
  <c r="G26" i="3"/>
  <c r="H26" i="3" s="1"/>
  <c r="G22" i="3"/>
  <c r="H22" i="3" s="1"/>
  <c r="L89" i="3"/>
  <c r="H92" i="3"/>
  <c r="J89" i="3"/>
  <c r="H88" i="3"/>
  <c r="J18" i="3"/>
  <c r="K24" i="3"/>
  <c r="L18" i="3"/>
  <c r="K48" i="3"/>
  <c r="L41" i="3"/>
  <c r="H86" i="3"/>
  <c r="J86" i="3"/>
  <c r="H60" i="3"/>
  <c r="K92" i="3"/>
  <c r="L92" i="3"/>
  <c r="K88" i="3"/>
  <c r="L86" i="3"/>
  <c r="K57" i="3"/>
  <c r="H47" i="3"/>
  <c r="L23" i="3"/>
  <c r="K18" i="3"/>
  <c r="K47" i="3"/>
  <c r="J24" i="3"/>
  <c r="J92" i="3"/>
  <c r="K89" i="3"/>
  <c r="H89" i="3"/>
  <c r="L88" i="3"/>
  <c r="J88" i="3"/>
  <c r="K86" i="3"/>
  <c r="J84" i="3"/>
  <c r="J60" i="3"/>
  <c r="L47" i="3"/>
  <c r="J47" i="3"/>
  <c r="K41" i="3"/>
  <c r="L25" i="3"/>
  <c r="H18" i="3"/>
  <c r="H227" i="7" l="1"/>
  <c r="I227" i="7" s="1"/>
  <c r="E230" i="7"/>
  <c r="H230" i="7" s="1"/>
  <c r="I230" i="7" s="1"/>
  <c r="H209" i="7"/>
  <c r="I209" i="7" s="1"/>
  <c r="E210" i="7"/>
  <c r="H210" i="7" s="1"/>
  <c r="I210" i="7" s="1"/>
  <c r="E220" i="7" s="1"/>
  <c r="H220" i="7" s="1"/>
  <c r="I220" i="7" s="1"/>
  <c r="H226" i="7"/>
  <c r="I226" i="7" s="1"/>
  <c r="E229" i="7"/>
  <c r="H229" i="7" s="1"/>
  <c r="I229" i="7" s="1"/>
  <c r="E228" i="7"/>
  <c r="K25" i="3"/>
  <c r="L87" i="3"/>
  <c r="K72" i="3"/>
  <c r="H48" i="3"/>
  <c r="J74" i="3"/>
  <c r="J30" i="3"/>
  <c r="L80" i="3"/>
  <c r="H43" i="3"/>
  <c r="J67" i="3"/>
  <c r="L72" i="3"/>
  <c r="K62" i="3"/>
  <c r="J48" i="3"/>
  <c r="L57" i="3"/>
  <c r="K30" i="3"/>
  <c r="J41" i="3"/>
  <c r="J37" i="3"/>
  <c r="H82" i="3"/>
  <c r="L30" i="3"/>
  <c r="J57" i="3"/>
  <c r="J72" i="3"/>
  <c r="L83" i="3"/>
  <c r="K74" i="3"/>
  <c r="K82" i="3"/>
  <c r="H74" i="3"/>
  <c r="K39" i="3"/>
  <c r="L43" i="3"/>
  <c r="H87" i="3"/>
  <c r="H24" i="3"/>
  <c r="L63" i="3"/>
  <c r="K63" i="3"/>
  <c r="J25" i="3"/>
  <c r="J82" i="3"/>
  <c r="K90" i="3"/>
  <c r="K43" i="3"/>
  <c r="K70" i="3"/>
  <c r="H17" i="3"/>
  <c r="H75" i="3"/>
  <c r="K78" i="3"/>
  <c r="H19" i="3"/>
  <c r="L69" i="3"/>
  <c r="K83" i="3"/>
  <c r="L39" i="3"/>
  <c r="J63" i="3"/>
  <c r="K73" i="3"/>
  <c r="K87" i="3"/>
  <c r="L40" i="3"/>
  <c r="J90" i="3"/>
  <c r="L20" i="3"/>
  <c r="H83" i="3"/>
  <c r="L42" i="3"/>
  <c r="H39" i="3"/>
  <c r="L73" i="3"/>
  <c r="K44" i="3"/>
  <c r="L76" i="3"/>
  <c r="H32" i="3"/>
  <c r="J73" i="3"/>
  <c r="J46" i="3"/>
  <c r="J62" i="3"/>
  <c r="J44" i="3"/>
  <c r="K46" i="3"/>
  <c r="L77" i="3"/>
  <c r="H77" i="3"/>
  <c r="L61" i="3"/>
  <c r="J32" i="3"/>
  <c r="H35" i="3"/>
  <c r="K32" i="3"/>
  <c r="L46" i="3"/>
  <c r="H62" i="3"/>
  <c r="K61" i="3"/>
  <c r="K91" i="3"/>
  <c r="L28" i="3"/>
  <c r="K68" i="3"/>
  <c r="J29" i="3"/>
  <c r="H31" i="3"/>
  <c r="L79" i="3"/>
  <c r="L50" i="3"/>
  <c r="K27" i="3"/>
  <c r="H34" i="3"/>
  <c r="J27" i="3"/>
  <c r="L29" i="3"/>
  <c r="L84" i="3"/>
  <c r="L66" i="3"/>
  <c r="J66" i="3"/>
  <c r="K59" i="3"/>
  <c r="J61" i="3"/>
  <c r="K66" i="3"/>
  <c r="L90" i="3"/>
  <c r="K28" i="3"/>
  <c r="J68" i="3"/>
  <c r="K31" i="3"/>
  <c r="J20" i="3"/>
  <c r="J59" i="3"/>
  <c r="H27" i="3"/>
  <c r="H90" i="3"/>
  <c r="H50" i="3"/>
  <c r="L34" i="3"/>
  <c r="L45" i="3"/>
  <c r="K50" i="3"/>
  <c r="J91" i="3"/>
  <c r="L59" i="3"/>
  <c r="K29" i="3"/>
  <c r="J45" i="3"/>
  <c r="K84" i="3"/>
  <c r="K20" i="3"/>
  <c r="H68" i="3"/>
  <c r="K34" i="3"/>
  <c r="H28" i="3"/>
  <c r="H91" i="3"/>
  <c r="J80" i="3"/>
  <c r="J31" i="3"/>
  <c r="L37" i="3"/>
  <c r="J53" i="3"/>
  <c r="L60" i="3"/>
  <c r="J77" i="3"/>
  <c r="L91" i="3"/>
  <c r="K64" i="3"/>
  <c r="L19" i="3"/>
  <c r="J23" i="3"/>
  <c r="H65" i="3"/>
  <c r="K69" i="3"/>
  <c r="K23" i="3"/>
  <c r="K19" i="3"/>
  <c r="K45" i="3"/>
  <c r="L44" i="3"/>
  <c r="L71" i="3"/>
  <c r="J40" i="3"/>
  <c r="L67" i="3"/>
  <c r="J79" i="3"/>
  <c r="H93" i="3"/>
  <c r="L54" i="3"/>
  <c r="K67" i="3"/>
  <c r="K80" i="3"/>
  <c r="K26" i="3"/>
  <c r="L22" i="3"/>
  <c r="H58" i="3"/>
  <c r="H71" i="3"/>
  <c r="H80" i="3"/>
  <c r="L35" i="3"/>
  <c r="K37" i="3"/>
  <c r="J33" i="3"/>
  <c r="J93" i="3"/>
  <c r="L56" i="3"/>
  <c r="K71" i="3"/>
  <c r="L81" i="3"/>
  <c r="K35" i="3"/>
  <c r="J36" i="3"/>
  <c r="L75" i="3"/>
  <c r="H78" i="3"/>
  <c r="K40" i="3"/>
  <c r="J51" i="3"/>
  <c r="L64" i="3"/>
  <c r="K75" i="3"/>
  <c r="K93" i="3"/>
  <c r="L55" i="3"/>
  <c r="L53" i="3"/>
  <c r="L85" i="3"/>
  <c r="H55" i="3"/>
  <c r="J64" i="3"/>
  <c r="J76" i="3"/>
  <c r="J81" i="3"/>
  <c r="K22" i="3"/>
  <c r="K33" i="3"/>
  <c r="H94" i="3"/>
  <c r="J38" i="3"/>
  <c r="K49" i="3"/>
  <c r="K79" i="3"/>
  <c r="J56" i="3"/>
  <c r="H56" i="3"/>
  <c r="H79" i="3"/>
  <c r="J22" i="3"/>
  <c r="L26" i="3"/>
  <c r="L33" i="3"/>
  <c r="J42" i="3"/>
  <c r="L52" i="3"/>
  <c r="K55" i="3"/>
  <c r="K58" i="3"/>
  <c r="J70" i="3"/>
  <c r="J75" i="3"/>
  <c r="L78" i="3"/>
  <c r="K85" i="3"/>
  <c r="H42" i="3"/>
  <c r="K52" i="3"/>
  <c r="L58" i="3"/>
  <c r="K76" i="3"/>
  <c r="K81" i="3"/>
  <c r="H49" i="3"/>
  <c r="H53" i="3"/>
  <c r="L65" i="3"/>
  <c r="H54" i="3"/>
  <c r="K65" i="3"/>
  <c r="H70" i="3"/>
  <c r="K36" i="3"/>
  <c r="K17" i="3"/>
  <c r="H21" i="3"/>
  <c r="H36" i="3"/>
  <c r="K21" i="3"/>
  <c r="L49" i="3"/>
  <c r="L51" i="3"/>
  <c r="J54" i="3"/>
  <c r="K94" i="3"/>
  <c r="H51" i="3"/>
  <c r="L94" i="3"/>
  <c r="L38" i="3"/>
  <c r="H38" i="3"/>
  <c r="J26" i="3"/>
  <c r="J52" i="3"/>
  <c r="J69" i="3"/>
  <c r="H85" i="3"/>
  <c r="J21" i="3"/>
  <c r="L17" i="3"/>
  <c r="D160" i="5"/>
  <c r="H228" i="7" l="1"/>
  <c r="I228" i="7" s="1"/>
  <c r="E231" i="7"/>
  <c r="D153" i="5"/>
  <c r="D157" i="5"/>
  <c r="D161" i="5"/>
  <c r="D150" i="5"/>
  <c r="D154" i="5"/>
  <c r="D158" i="5"/>
  <c r="D151" i="5"/>
  <c r="D155" i="5"/>
  <c r="D159" i="5"/>
  <c r="D152" i="5"/>
  <c r="D156" i="5"/>
  <c r="F492" i="6"/>
  <c r="C492" i="6"/>
  <c r="C496" i="6"/>
  <c r="E497" i="6"/>
  <c r="E518" i="6" s="1"/>
  <c r="E496" i="6"/>
  <c r="E517" i="6" s="1"/>
  <c r="E495" i="6"/>
  <c r="E516" i="6" s="1"/>
  <c r="E494" i="6"/>
  <c r="E515" i="6" s="1"/>
  <c r="E493" i="6"/>
  <c r="E492" i="6"/>
  <c r="E513" i="6" s="1"/>
  <c r="C493" i="6"/>
  <c r="C497" i="6"/>
  <c r="D497" i="6"/>
  <c r="D496" i="6"/>
  <c r="D495" i="6"/>
  <c r="D494" i="6"/>
  <c r="D493" i="6"/>
  <c r="D492" i="6"/>
  <c r="C494" i="6"/>
  <c r="G497" i="6"/>
  <c r="G496" i="6"/>
  <c r="G495" i="6"/>
  <c r="G494" i="6"/>
  <c r="G515" i="6" s="1"/>
  <c r="G493" i="6"/>
  <c r="G492" i="6"/>
  <c r="C495" i="6"/>
  <c r="F497" i="6"/>
  <c r="F496" i="6"/>
  <c r="F495" i="6"/>
  <c r="F494" i="6"/>
  <c r="F493" i="6"/>
  <c r="E235" i="7" l="1"/>
  <c r="H231" i="7"/>
  <c r="I231" i="7" s="1"/>
  <c r="D253" i="7" s="1"/>
  <c r="H253" i="7" s="1"/>
  <c r="I253" i="7" s="1"/>
  <c r="J492" i="6"/>
  <c r="G517" i="6"/>
  <c r="E514" i="6"/>
  <c r="E519" i="6" s="1"/>
  <c r="J493" i="6"/>
  <c r="J497" i="6"/>
  <c r="H492" i="6"/>
  <c r="H497" i="6"/>
  <c r="H494" i="6"/>
  <c r="H493" i="6"/>
  <c r="H495" i="6"/>
  <c r="J495" i="6"/>
  <c r="G516" i="6"/>
  <c r="J496" i="6"/>
  <c r="H496" i="6"/>
  <c r="G518" i="6"/>
  <c r="G514" i="6"/>
  <c r="J494" i="6"/>
  <c r="G513" i="6"/>
  <c r="D518" i="6"/>
  <c r="D516" i="6"/>
  <c r="F498" i="6"/>
  <c r="F513" i="6"/>
  <c r="F514" i="6"/>
  <c r="E498" i="6"/>
  <c r="E500" i="6" s="1"/>
  <c r="G498" i="6"/>
  <c r="G501" i="6" s="1"/>
  <c r="F518" i="6"/>
  <c r="F516" i="6"/>
  <c r="F517" i="6"/>
  <c r="F515" i="6"/>
  <c r="J515" i="6" s="1"/>
  <c r="D498" i="6"/>
  <c r="D513" i="6"/>
  <c r="D517" i="6"/>
  <c r="D514" i="6"/>
  <c r="D515" i="6"/>
  <c r="E236" i="7" l="1"/>
  <c r="H236" i="7" s="1"/>
  <c r="I236" i="7" s="1"/>
  <c r="H235" i="7"/>
  <c r="I235" i="7" s="1"/>
  <c r="E252" i="7" s="1"/>
  <c r="H252" i="7" s="1"/>
  <c r="I252" i="7" s="1"/>
  <c r="J513" i="6"/>
  <c r="D217" i="7" s="1"/>
  <c r="H517" i="6"/>
  <c r="J517" i="6"/>
  <c r="J518" i="6"/>
  <c r="H516" i="6"/>
  <c r="J514" i="6"/>
  <c r="J516" i="6"/>
  <c r="G519" i="6"/>
  <c r="G500" i="6"/>
  <c r="H514" i="6"/>
  <c r="D248" i="7" s="1"/>
  <c r="H518" i="6"/>
  <c r="E501" i="6"/>
  <c r="F501" i="6"/>
  <c r="F500" i="6"/>
  <c r="H515" i="6"/>
  <c r="D519" i="6"/>
  <c r="D501" i="6"/>
  <c r="D500" i="6"/>
  <c r="H513" i="6"/>
  <c r="D247" i="7" s="1"/>
  <c r="F519" i="6"/>
  <c r="D250" i="7" l="1"/>
  <c r="H250" i="7" s="1"/>
  <c r="I250" i="7" s="1"/>
  <c r="H248" i="7"/>
  <c r="I248" i="7" s="1"/>
  <c r="D218" i="7"/>
  <c r="H218" i="7" s="1"/>
  <c r="H217" i="7"/>
  <c r="H247" i="7"/>
  <c r="I247" i="7" s="1"/>
  <c r="D249" i="7"/>
  <c r="H249" i="7" s="1"/>
  <c r="I249" i="7" s="1"/>
  <c r="D247" i="5"/>
  <c r="D248" i="5"/>
  <c r="D217" i="5"/>
  <c r="J519" i="6"/>
  <c r="D213" i="7" s="1"/>
  <c r="H500" i="6"/>
  <c r="H519" i="6"/>
  <c r="H501" i="6"/>
  <c r="J505" i="6" s="1"/>
  <c r="E221" i="7" s="1"/>
  <c r="H221" i="7" s="1"/>
  <c r="I221" i="7" s="1"/>
  <c r="D181" i="7" s="1"/>
  <c r="H181" i="7" s="1"/>
  <c r="D215" i="7" l="1"/>
  <c r="D223" i="7"/>
  <c r="H223" i="7" s="1"/>
  <c r="I223" i="7" s="1"/>
  <c r="H213" i="7"/>
  <c r="I213" i="7" s="1"/>
  <c r="J506" i="6"/>
  <c r="E222" i="7" s="1"/>
  <c r="H222" i="7" s="1"/>
  <c r="I222" i="7" s="1"/>
  <c r="D182" i="7" s="1"/>
  <c r="H182" i="7" s="1"/>
  <c r="E221" i="5"/>
  <c r="H221" i="5" s="1"/>
  <c r="E209" i="5"/>
  <c r="D213" i="5"/>
  <c r="EU17" i="3"/>
  <c r="EV17" i="3"/>
  <c r="EW17" i="3"/>
  <c r="EU18" i="3"/>
  <c r="EV18" i="3"/>
  <c r="EW18" i="3"/>
  <c r="EU19" i="3"/>
  <c r="EV19" i="3"/>
  <c r="EW19" i="3"/>
  <c r="EU20" i="3"/>
  <c r="EV20" i="3"/>
  <c r="EW20" i="3"/>
  <c r="EU21" i="3"/>
  <c r="EV21" i="3"/>
  <c r="EW21" i="3"/>
  <c r="EU23" i="3"/>
  <c r="EV23" i="3"/>
  <c r="EW23" i="3"/>
  <c r="EU24" i="3"/>
  <c r="EV24" i="3"/>
  <c r="EW24" i="3"/>
  <c r="EU25" i="3"/>
  <c r="EV25" i="3"/>
  <c r="EW25" i="3"/>
  <c r="EU26" i="3"/>
  <c r="EV26" i="3"/>
  <c r="EW26" i="3"/>
  <c r="EU27" i="3"/>
  <c r="EV27" i="3"/>
  <c r="EW27" i="3"/>
  <c r="EU28" i="3"/>
  <c r="EV28" i="3"/>
  <c r="EW28" i="3"/>
  <c r="EU29" i="3"/>
  <c r="EV29" i="3"/>
  <c r="EW29" i="3"/>
  <c r="EU32" i="3"/>
  <c r="EV32" i="3"/>
  <c r="EW32" i="3"/>
  <c r="EU36" i="3"/>
  <c r="EV36" i="3"/>
  <c r="EW36" i="3"/>
  <c r="EU37" i="3"/>
  <c r="EV37" i="3"/>
  <c r="EW37" i="3"/>
  <c r="EU38" i="3"/>
  <c r="EV38" i="3"/>
  <c r="EW38" i="3"/>
  <c r="EU39" i="3"/>
  <c r="EV39" i="3"/>
  <c r="EW39" i="3"/>
  <c r="EU40" i="3"/>
  <c r="EV40" i="3"/>
  <c r="EW40" i="3"/>
  <c r="EU41" i="3"/>
  <c r="EV41" i="3"/>
  <c r="EW41" i="3"/>
  <c r="EU42" i="3"/>
  <c r="EV42" i="3"/>
  <c r="EW42" i="3"/>
  <c r="EU43" i="3"/>
  <c r="EV43" i="3"/>
  <c r="EW43" i="3"/>
  <c r="D200" i="5"/>
  <c r="H200" i="5" s="1"/>
  <c r="I200" i="5" s="1"/>
  <c r="D199" i="5"/>
  <c r="H215" i="7" l="1"/>
  <c r="D216" i="7"/>
  <c r="H216" i="7" s="1"/>
  <c r="E222" i="5"/>
  <c r="H222" i="5" s="1"/>
  <c r="I222" i="5" s="1"/>
  <c r="D182" i="5" s="1"/>
  <c r="H182" i="5" s="1"/>
  <c r="EQ17" i="3"/>
  <c r="ER17" i="3"/>
  <c r="ES17" i="3"/>
  <c r="EQ18" i="3"/>
  <c r="ER18" i="3"/>
  <c r="ES18" i="3"/>
  <c r="EQ19" i="3"/>
  <c r="ER19" i="3"/>
  <c r="ES19" i="3"/>
  <c r="EQ20" i="3"/>
  <c r="ER20" i="3"/>
  <c r="ES20" i="3"/>
  <c r="EQ21" i="3"/>
  <c r="ER21" i="3"/>
  <c r="ES21" i="3"/>
  <c r="EQ23" i="3"/>
  <c r="ER23" i="3"/>
  <c r="ES23" i="3"/>
  <c r="EQ24" i="3"/>
  <c r="ER24" i="3"/>
  <c r="ES24" i="3"/>
  <c r="EQ25" i="3"/>
  <c r="ER25" i="3"/>
  <c r="ES25" i="3"/>
  <c r="EQ26" i="3"/>
  <c r="ER26" i="3"/>
  <c r="ES26" i="3"/>
  <c r="EQ27" i="3"/>
  <c r="ER27" i="3"/>
  <c r="ES27" i="3"/>
  <c r="EQ28" i="3"/>
  <c r="ER28" i="3"/>
  <c r="ES28" i="3"/>
  <c r="EQ29" i="3"/>
  <c r="ER29" i="3"/>
  <c r="ES29" i="3"/>
  <c r="EQ32" i="3"/>
  <c r="ER32" i="3"/>
  <c r="ES32" i="3"/>
  <c r="EQ36" i="3"/>
  <c r="ER36" i="3"/>
  <c r="ES36" i="3"/>
  <c r="EQ37" i="3"/>
  <c r="ER37" i="3"/>
  <c r="ES37" i="3"/>
  <c r="EQ38" i="3"/>
  <c r="ER38" i="3"/>
  <c r="ES38" i="3"/>
  <c r="EQ39" i="3"/>
  <c r="ER39" i="3"/>
  <c r="ES39" i="3"/>
  <c r="EQ40" i="3"/>
  <c r="ER40" i="3"/>
  <c r="ES40" i="3"/>
  <c r="EQ41" i="3"/>
  <c r="ER41" i="3"/>
  <c r="ES41" i="3"/>
  <c r="EQ42" i="3"/>
  <c r="ER42" i="3"/>
  <c r="ES42" i="3"/>
  <c r="EQ43" i="3"/>
  <c r="ER43" i="3"/>
  <c r="ES43" i="3"/>
  <c r="I214" i="7" l="1"/>
  <c r="G98" i="5"/>
  <c r="EO17" i="3"/>
  <c r="EN17" i="3"/>
  <c r="EM17" i="3"/>
  <c r="EL17" i="3"/>
  <c r="EK17" i="3"/>
  <c r="EJ17" i="3"/>
  <c r="EI17" i="3"/>
  <c r="EH17" i="3"/>
  <c r="EG17" i="3"/>
  <c r="EF17" i="3"/>
  <c r="EE17" i="3"/>
  <c r="ED17" i="3"/>
  <c r="EC17" i="3"/>
  <c r="EB17" i="3"/>
  <c r="EA17" i="3"/>
  <c r="DZ17" i="3"/>
  <c r="DY17" i="3"/>
  <c r="DX17" i="3"/>
  <c r="DW17" i="3"/>
  <c r="DV17" i="3"/>
  <c r="DU17" i="3"/>
  <c r="DT17" i="3"/>
  <c r="DS17" i="3"/>
  <c r="DR17" i="3"/>
  <c r="DQ17" i="3"/>
  <c r="DP17" i="3"/>
  <c r="DO17" i="3"/>
  <c r="DE17" i="3"/>
  <c r="DF17" i="3"/>
  <c r="DG17" i="3"/>
  <c r="DH17" i="3"/>
  <c r="DI17" i="3"/>
  <c r="DJ17" i="3"/>
  <c r="DK17" i="3"/>
  <c r="DL17" i="3"/>
  <c r="DM17" i="3"/>
  <c r="DA17" i="3"/>
  <c r="DB17" i="3"/>
  <c r="DC17" i="3"/>
  <c r="CX17" i="3"/>
  <c r="CY17" i="3"/>
  <c r="CZ17" i="3"/>
  <c r="H71" i="5" l="1"/>
  <c r="I71" i="5" s="1"/>
  <c r="H248" i="5"/>
  <c r="I248" i="5" s="1"/>
  <c r="D250" i="5"/>
  <c r="H250" i="5" s="1"/>
  <c r="I250" i="5" s="1"/>
  <c r="H247" i="5"/>
  <c r="I247" i="5" s="1"/>
  <c r="D249" i="5"/>
  <c r="H249" i="5" s="1"/>
  <c r="I249" i="5" s="1"/>
  <c r="H244" i="5"/>
  <c r="I244" i="5" s="1"/>
  <c r="H243" i="5"/>
  <c r="I243" i="5" s="1"/>
  <c r="H242" i="5"/>
  <c r="I242" i="5" s="1"/>
  <c r="H241" i="5"/>
  <c r="I241" i="5" s="1"/>
  <c r="H239" i="5"/>
  <c r="I239" i="5" s="1"/>
  <c r="H238" i="5"/>
  <c r="I238" i="5" s="1"/>
  <c r="H237" i="5"/>
  <c r="I237" i="5" s="1"/>
  <c r="H227" i="5"/>
  <c r="I227" i="5" s="1"/>
  <c r="E230" i="5"/>
  <c r="H230" i="5" s="1"/>
  <c r="I230" i="5" s="1"/>
  <c r="H226" i="5"/>
  <c r="I226" i="5" s="1"/>
  <c r="E229" i="5"/>
  <c r="H229" i="5" s="1"/>
  <c r="I229" i="5" s="1"/>
  <c r="D223" i="5"/>
  <c r="I221" i="5"/>
  <c r="D181" i="5" s="1"/>
  <c r="H181" i="5" s="1"/>
  <c r="G218" i="5"/>
  <c r="D215" i="5"/>
  <c r="H213" i="5"/>
  <c r="I213" i="5" s="1"/>
  <c r="E210" i="5"/>
  <c r="H210" i="5" s="1"/>
  <c r="I210" i="5" s="1"/>
  <c r="E220" i="5" s="1"/>
  <c r="H220" i="5" s="1"/>
  <c r="I220" i="5" s="1"/>
  <c r="H208" i="5"/>
  <c r="I208" i="5" s="1"/>
  <c r="A204" i="5"/>
  <c r="A205" i="5" s="1"/>
  <c r="H199" i="5"/>
  <c r="I199" i="5" s="1"/>
  <c r="H161" i="5"/>
  <c r="I161" i="5" s="1"/>
  <c r="H160" i="5"/>
  <c r="I160" i="5" s="1"/>
  <c r="H159" i="5"/>
  <c r="I159" i="5" s="1"/>
  <c r="H158" i="5"/>
  <c r="I158" i="5" s="1"/>
  <c r="H157" i="5"/>
  <c r="I157" i="5" s="1"/>
  <c r="H156" i="5"/>
  <c r="I156" i="5" s="1"/>
  <c r="H155" i="5"/>
  <c r="I155" i="5" s="1"/>
  <c r="H154" i="5"/>
  <c r="I154" i="5" s="1"/>
  <c r="H153" i="5"/>
  <c r="I153" i="5" s="1"/>
  <c r="H152" i="5"/>
  <c r="I152" i="5" s="1"/>
  <c r="H151" i="5"/>
  <c r="I151" i="5" s="1"/>
  <c r="H150" i="5"/>
  <c r="I150" i="5" s="1"/>
  <c r="H148" i="5"/>
  <c r="H147" i="5"/>
  <c r="F143" i="5"/>
  <c r="F142" i="5"/>
  <c r="F138" i="5"/>
  <c r="F137" i="5"/>
  <c r="H134" i="5"/>
  <c r="I134" i="5" s="1"/>
  <c r="D142" i="5"/>
  <c r="D143" i="5" s="1"/>
  <c r="H108" i="5"/>
  <c r="I108" i="5" s="1"/>
  <c r="H107" i="5"/>
  <c r="I107" i="5" s="1"/>
  <c r="G99" i="5"/>
  <c r="H30" i="5"/>
  <c r="I30" i="5" s="1"/>
  <c r="H14" i="5"/>
  <c r="I14" i="5" s="1"/>
  <c r="H13" i="5"/>
  <c r="I13" i="5" s="1"/>
  <c r="H12" i="5"/>
  <c r="I12" i="5" s="1"/>
  <c r="H11" i="5"/>
  <c r="I11" i="5" s="1"/>
  <c r="H10" i="5"/>
  <c r="I10" i="5" s="1"/>
  <c r="H9" i="5"/>
  <c r="I9" i="5" s="1"/>
  <c r="A8" i="5"/>
  <c r="A29" i="5" s="1"/>
  <c r="H223" i="5" l="1"/>
  <c r="I223" i="5" s="1"/>
  <c r="I146" i="5"/>
  <c r="G100" i="5"/>
  <c r="CS95" i="3"/>
  <c r="C123" i="3" s="1"/>
  <c r="CQ95" i="3"/>
  <c r="C121" i="3" s="1"/>
  <c r="CU95" i="3"/>
  <c r="C126" i="3" s="1"/>
  <c r="E53" i="7" s="1"/>
  <c r="H53" i="7" s="1"/>
  <c r="I53" i="7" s="1"/>
  <c r="A9" i="5"/>
  <c r="A10" i="5" s="1"/>
  <c r="A11" i="5" s="1"/>
  <c r="A12" i="5" s="1"/>
  <c r="A13" i="5" s="1"/>
  <c r="A14" i="5" s="1"/>
  <c r="A15" i="5" s="1"/>
  <c r="A16" i="5" s="1"/>
  <c r="A27" i="5" s="1"/>
  <c r="H143" i="5"/>
  <c r="D144" i="5"/>
  <c r="H144" i="5" s="1"/>
  <c r="H142" i="5"/>
  <c r="A30" i="5"/>
  <c r="A42" i="5"/>
  <c r="D218" i="5"/>
  <c r="H218" i="5" s="1"/>
  <c r="H217" i="5"/>
  <c r="D137" i="5"/>
  <c r="A206" i="5"/>
  <c r="A207" i="5" s="1"/>
  <c r="A208" i="5" s="1"/>
  <c r="A209" i="5" s="1"/>
  <c r="A210" i="5" s="1"/>
  <c r="A212" i="5"/>
  <c r="D216" i="5"/>
  <c r="H216" i="5" s="1"/>
  <c r="H215" i="5"/>
  <c r="H209" i="5"/>
  <c r="I209" i="5" s="1"/>
  <c r="E228" i="5"/>
  <c r="E53" i="5" l="1"/>
  <c r="H53" i="5" s="1"/>
  <c r="I53" i="5" s="1"/>
  <c r="I214" i="5"/>
  <c r="I141" i="5"/>
  <c r="E231" i="5"/>
  <c r="H228" i="5"/>
  <c r="I228" i="5" s="1"/>
  <c r="D139" i="5"/>
  <c r="H139" i="5" s="1"/>
  <c r="H137" i="5"/>
  <c r="D138" i="5"/>
  <c r="H138" i="5" s="1"/>
  <c r="A48" i="5"/>
  <c r="A43" i="5"/>
  <c r="A44" i="5" s="1"/>
  <c r="A45" i="5" s="1"/>
  <c r="A46" i="5" s="1"/>
  <c r="A213" i="5"/>
  <c r="A214" i="5" s="1"/>
  <c r="A220" i="5" s="1"/>
  <c r="A221" i="5" s="1"/>
  <c r="A222" i="5" s="1"/>
  <c r="A223" i="5" s="1"/>
  <c r="A225" i="5"/>
  <c r="A49" i="5" l="1"/>
  <c r="A72" i="5"/>
  <c r="E235" i="5"/>
  <c r="H231" i="5"/>
  <c r="I231" i="5" s="1"/>
  <c r="D253" i="5" s="1"/>
  <c r="H253" i="5" s="1"/>
  <c r="I253" i="5" s="1"/>
  <c r="A233" i="5"/>
  <c r="A234" i="5" s="1"/>
  <c r="A226" i="5"/>
  <c r="A227" i="5" s="1"/>
  <c r="A228" i="5" s="1"/>
  <c r="A229" i="5" s="1"/>
  <c r="A230" i="5" s="1"/>
  <c r="A231" i="5" s="1"/>
  <c r="I136" i="5"/>
  <c r="A246" i="5" l="1"/>
  <c r="A235" i="5"/>
  <c r="A236" i="5" s="1"/>
  <c r="A237" i="5" s="1"/>
  <c r="A238" i="5" s="1"/>
  <c r="A239" i="5" s="1"/>
  <c r="A240" i="5" s="1"/>
  <c r="A241" i="5" s="1"/>
  <c r="A242" i="5" s="1"/>
  <c r="A243" i="5" s="1"/>
  <c r="A244" i="5" s="1"/>
  <c r="H235" i="5"/>
  <c r="I235" i="5" s="1"/>
  <c r="E252" i="5" s="1"/>
  <c r="H252" i="5" s="1"/>
  <c r="I252" i="5" s="1"/>
  <c r="E236" i="5"/>
  <c r="H236" i="5" s="1"/>
  <c r="I236" i="5" s="1"/>
  <c r="A163" i="5"/>
  <c r="A73" i="5"/>
  <c r="A50" i="5"/>
  <c r="A51" i="5" s="1"/>
  <c r="A52" i="5" s="1"/>
  <c r="A53" i="5" s="1"/>
  <c r="A55" i="5"/>
  <c r="A56" i="5" s="1"/>
  <c r="A57" i="5" s="1"/>
  <c r="A58" i="5" s="1"/>
  <c r="A59" i="5" s="1"/>
  <c r="A60" i="5" s="1"/>
  <c r="A61" i="5" s="1"/>
  <c r="A62" i="5" s="1"/>
  <c r="A66" i="5" l="1"/>
  <c r="A67" i="5" s="1"/>
  <c r="A68" i="5" s="1"/>
  <c r="A69" i="5" s="1"/>
  <c r="A70" i="5" s="1"/>
  <c r="A71" i="5" s="1"/>
  <c r="A74" i="5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106" i="5"/>
  <c r="A171" i="5"/>
  <c r="A164" i="5"/>
  <c r="A165" i="5" s="1"/>
  <c r="A166" i="5" s="1"/>
  <c r="A167" i="5" s="1"/>
  <c r="A168" i="5" s="1"/>
  <c r="A169" i="5" s="1"/>
  <c r="A251" i="5"/>
  <c r="A252" i="5" s="1"/>
  <c r="A253" i="5" s="1"/>
  <c r="A247" i="5"/>
  <c r="A248" i="5" s="1"/>
  <c r="A249" i="5" s="1"/>
  <c r="A250" i="5" s="1"/>
  <c r="A187" i="5" l="1"/>
  <c r="A188" i="5" s="1"/>
  <c r="A189" i="5" s="1"/>
  <c r="A190" i="5" s="1"/>
  <c r="A191" i="5" s="1"/>
  <c r="A172" i="5"/>
  <c r="A133" i="5"/>
  <c r="A134" i="5" s="1"/>
  <c r="A136" i="5" s="1"/>
  <c r="A141" i="5" s="1"/>
  <c r="A146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07" i="5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73" i="5" l="1"/>
  <c r="A174" i="5" s="1"/>
  <c r="A175" i="5" s="1"/>
  <c r="A184" i="5" s="1"/>
  <c r="A192" i="5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I95" i="3" l="1"/>
  <c r="M7" i="3" l="1"/>
  <c r="M8" i="3"/>
  <c r="M9" i="3"/>
  <c r="M10" i="3"/>
  <c r="M11" i="3"/>
  <c r="M6" i="3"/>
  <c r="D7" i="3"/>
  <c r="E7" i="3"/>
  <c r="F7" i="3"/>
  <c r="G7" i="3"/>
  <c r="D8" i="3"/>
  <c r="E8" i="3"/>
  <c r="F8" i="3"/>
  <c r="G8" i="3"/>
  <c r="D9" i="3"/>
  <c r="E9" i="3"/>
  <c r="F9" i="3"/>
  <c r="G9" i="3"/>
  <c r="D10" i="3"/>
  <c r="E10" i="3"/>
  <c r="F10" i="3"/>
  <c r="G10" i="3"/>
  <c r="D11" i="3"/>
  <c r="E11" i="3"/>
  <c r="F11" i="3"/>
  <c r="G11" i="3"/>
  <c r="D12" i="3"/>
  <c r="E12" i="3"/>
  <c r="F12" i="3"/>
  <c r="G12" i="3"/>
  <c r="D13" i="3"/>
  <c r="E13" i="3"/>
  <c r="F13" i="3"/>
  <c r="G13" i="3"/>
  <c r="D14" i="3"/>
  <c r="E14" i="3"/>
  <c r="F14" i="3"/>
  <c r="G14" i="3"/>
  <c r="D15" i="3"/>
  <c r="E15" i="3"/>
  <c r="F15" i="3"/>
  <c r="G15" i="3"/>
  <c r="D16" i="3"/>
  <c r="N16" i="3" s="1"/>
  <c r="CR16" i="3" s="1"/>
  <c r="E16" i="3"/>
  <c r="F16" i="3"/>
  <c r="G16" i="3"/>
  <c r="G6" i="3"/>
  <c r="F6" i="3"/>
  <c r="E6" i="3"/>
  <c r="D6" i="3"/>
  <c r="F13" i="2"/>
  <c r="G13" i="2"/>
  <c r="H13" i="2"/>
  <c r="I13" i="2"/>
  <c r="J13" i="2"/>
  <c r="K13" i="2"/>
  <c r="L13" i="2"/>
  <c r="M13" i="2"/>
  <c r="N13" i="2"/>
  <c r="O13" i="2"/>
  <c r="P13" i="2"/>
  <c r="Q13" i="2"/>
  <c r="R13" i="2"/>
  <c r="S13" i="2"/>
  <c r="T13" i="2"/>
  <c r="U13" i="2"/>
  <c r="V13" i="2"/>
  <c r="W13" i="2"/>
  <c r="X13" i="2"/>
  <c r="Y13" i="2"/>
  <c r="Z13" i="2"/>
  <c r="AA13" i="2"/>
  <c r="AB13" i="2"/>
  <c r="AC13" i="2"/>
  <c r="AD13" i="2"/>
  <c r="AE13" i="2"/>
  <c r="AF13" i="2"/>
  <c r="AG13" i="2"/>
  <c r="AH13" i="2"/>
  <c r="AI13" i="2"/>
  <c r="AJ13" i="2"/>
  <c r="AK13" i="2"/>
  <c r="AL13" i="2"/>
  <c r="AM13" i="2"/>
  <c r="AN13" i="2"/>
  <c r="AO13" i="2"/>
  <c r="N10" i="3" l="1"/>
  <c r="CT10" i="3" s="1"/>
  <c r="N6" i="3"/>
  <c r="CR6" i="3" s="1"/>
  <c r="N15" i="3"/>
  <c r="CR15" i="3" s="1"/>
  <c r="N14" i="3"/>
  <c r="CR14" i="3" s="1"/>
  <c r="N13" i="3"/>
  <c r="CR13" i="3" s="1"/>
  <c r="N12" i="3"/>
  <c r="CT12" i="3" s="1"/>
  <c r="N11" i="3"/>
  <c r="CR11" i="3" s="1"/>
  <c r="N9" i="3"/>
  <c r="CT9" i="3" s="1"/>
  <c r="N8" i="3"/>
  <c r="CR8" i="3" s="1"/>
  <c r="N7" i="3"/>
  <c r="CT7" i="3" s="1"/>
  <c r="J16" i="3"/>
  <c r="L16" i="3"/>
  <c r="CX16" i="3" s="1"/>
  <c r="K16" i="3"/>
  <c r="EV91" i="3"/>
  <c r="EW91" i="3"/>
  <c r="EU91" i="3"/>
  <c r="EW87" i="3"/>
  <c r="EU87" i="3"/>
  <c r="EV87" i="3"/>
  <c r="EU83" i="3"/>
  <c r="EV83" i="3"/>
  <c r="EW83" i="3"/>
  <c r="EU79" i="3"/>
  <c r="EV79" i="3"/>
  <c r="EW79" i="3"/>
  <c r="EV75" i="3"/>
  <c r="EW75" i="3"/>
  <c r="EU75" i="3"/>
  <c r="EW71" i="3"/>
  <c r="EU71" i="3"/>
  <c r="EV71" i="3"/>
  <c r="EU67" i="3"/>
  <c r="EV67" i="3"/>
  <c r="EW67" i="3"/>
  <c r="EU63" i="3"/>
  <c r="EV63" i="3"/>
  <c r="EW63" i="3"/>
  <c r="EV59" i="3"/>
  <c r="EW59" i="3"/>
  <c r="EU59" i="3"/>
  <c r="EW55" i="3"/>
  <c r="EU55" i="3"/>
  <c r="EV55" i="3"/>
  <c r="EU51" i="3"/>
  <c r="EV51" i="3"/>
  <c r="EW51" i="3"/>
  <c r="EU47" i="3"/>
  <c r="EV47" i="3"/>
  <c r="EW47" i="3"/>
  <c r="EV35" i="3"/>
  <c r="EW35" i="3"/>
  <c r="EU35" i="3"/>
  <c r="EU31" i="3"/>
  <c r="EV31" i="3"/>
  <c r="EW31" i="3"/>
  <c r="EW14" i="3"/>
  <c r="EU14" i="3"/>
  <c r="EV14" i="3"/>
  <c r="EW10" i="3"/>
  <c r="EU10" i="3"/>
  <c r="EV10" i="3"/>
  <c r="EW94" i="3"/>
  <c r="EU94" i="3"/>
  <c r="EV94" i="3"/>
  <c r="EW90" i="3"/>
  <c r="EU90" i="3"/>
  <c r="EV90" i="3"/>
  <c r="EW86" i="3"/>
  <c r="EU86" i="3"/>
  <c r="EV86" i="3"/>
  <c r="EW82" i="3"/>
  <c r="EV82" i="3"/>
  <c r="EU82" i="3"/>
  <c r="EW78" i="3"/>
  <c r="EU78" i="3"/>
  <c r="EV78" i="3"/>
  <c r="EW74" i="3"/>
  <c r="EU74" i="3"/>
  <c r="EV74" i="3"/>
  <c r="EW70" i="3"/>
  <c r="EU70" i="3"/>
  <c r="EV70" i="3"/>
  <c r="EW66" i="3"/>
  <c r="EV66" i="3"/>
  <c r="EU66" i="3"/>
  <c r="EW62" i="3"/>
  <c r="EU62" i="3"/>
  <c r="EV62" i="3"/>
  <c r="EW58" i="3"/>
  <c r="EU58" i="3"/>
  <c r="EV58" i="3"/>
  <c r="EW54" i="3"/>
  <c r="EU54" i="3"/>
  <c r="EV54" i="3"/>
  <c r="EW50" i="3"/>
  <c r="EV50" i="3"/>
  <c r="EU50" i="3"/>
  <c r="EW46" i="3"/>
  <c r="EU46" i="3"/>
  <c r="EV46" i="3"/>
  <c r="EW34" i="3"/>
  <c r="EU34" i="3"/>
  <c r="EV34" i="3"/>
  <c r="EW30" i="3"/>
  <c r="EV30" i="3"/>
  <c r="EU30" i="3"/>
  <c r="EW22" i="3"/>
  <c r="EU22" i="3"/>
  <c r="EV22" i="3"/>
  <c r="EV13" i="3"/>
  <c r="EU13" i="3"/>
  <c r="EW13" i="3"/>
  <c r="EV9" i="3"/>
  <c r="EW9" i="3"/>
  <c r="EU9" i="3"/>
  <c r="EW6" i="3"/>
  <c r="EV6" i="3"/>
  <c r="EV93" i="3"/>
  <c r="EU93" i="3"/>
  <c r="EW93" i="3"/>
  <c r="EV89" i="3"/>
  <c r="EW89" i="3"/>
  <c r="EU89" i="3"/>
  <c r="EV85" i="3"/>
  <c r="EU85" i="3"/>
  <c r="EW85" i="3"/>
  <c r="EV81" i="3"/>
  <c r="EU81" i="3"/>
  <c r="EW81" i="3"/>
  <c r="EV77" i="3"/>
  <c r="EU77" i="3"/>
  <c r="EW77" i="3"/>
  <c r="EV73" i="3"/>
  <c r="EW73" i="3"/>
  <c r="EU73" i="3"/>
  <c r="EV69" i="3"/>
  <c r="EU69" i="3"/>
  <c r="EW69" i="3"/>
  <c r="EV65" i="3"/>
  <c r="EU65" i="3"/>
  <c r="EW65" i="3"/>
  <c r="EV61" i="3"/>
  <c r="EU61" i="3"/>
  <c r="EW61" i="3"/>
  <c r="EV57" i="3"/>
  <c r="EW57" i="3"/>
  <c r="EU57" i="3"/>
  <c r="EV53" i="3"/>
  <c r="EU53" i="3"/>
  <c r="EW53" i="3"/>
  <c r="EV49" i="3"/>
  <c r="EU49" i="3"/>
  <c r="EW49" i="3"/>
  <c r="EV45" i="3"/>
  <c r="EU45" i="3"/>
  <c r="EW45" i="3"/>
  <c r="EV33" i="3"/>
  <c r="EW33" i="3"/>
  <c r="EU33" i="3"/>
  <c r="EU16" i="3"/>
  <c r="EW16" i="3"/>
  <c r="EV16" i="3"/>
  <c r="EU12" i="3"/>
  <c r="EV12" i="3"/>
  <c r="EW12" i="3"/>
  <c r="EU8" i="3"/>
  <c r="EV8" i="3"/>
  <c r="EW8" i="3"/>
  <c r="EU92" i="3"/>
  <c r="EV92" i="3"/>
  <c r="EW92" i="3"/>
  <c r="EU88" i="3"/>
  <c r="EV88" i="3"/>
  <c r="EW88" i="3"/>
  <c r="EU84" i="3"/>
  <c r="EV84" i="3"/>
  <c r="EW84" i="3"/>
  <c r="EU80" i="3"/>
  <c r="EW80" i="3"/>
  <c r="EV80" i="3"/>
  <c r="EU76" i="3"/>
  <c r="EV76" i="3"/>
  <c r="EW76" i="3"/>
  <c r="EU72" i="3"/>
  <c r="EV72" i="3"/>
  <c r="EW72" i="3"/>
  <c r="EU68" i="3"/>
  <c r="EV68" i="3"/>
  <c r="EW68" i="3"/>
  <c r="EU64" i="3"/>
  <c r="EW64" i="3"/>
  <c r="EV64" i="3"/>
  <c r="EU60" i="3"/>
  <c r="EV60" i="3"/>
  <c r="EW60" i="3"/>
  <c r="EU56" i="3"/>
  <c r="EV56" i="3"/>
  <c r="EW56" i="3"/>
  <c r="EU52" i="3"/>
  <c r="EV52" i="3"/>
  <c r="EW52" i="3"/>
  <c r="EU48" i="3"/>
  <c r="EW48" i="3"/>
  <c r="EV48" i="3"/>
  <c r="EU44" i="3"/>
  <c r="EV44" i="3"/>
  <c r="EW44" i="3"/>
  <c r="EU15" i="3"/>
  <c r="EV15" i="3"/>
  <c r="EW15" i="3"/>
  <c r="EV11" i="3"/>
  <c r="EW11" i="3"/>
  <c r="EU11" i="3"/>
  <c r="EU7" i="3"/>
  <c r="EV7" i="3"/>
  <c r="EW7" i="3"/>
  <c r="EU6" i="3"/>
  <c r="ES6" i="3"/>
  <c r="ER6" i="3"/>
  <c r="ER93" i="3"/>
  <c r="ES93" i="3"/>
  <c r="ES89" i="3"/>
  <c r="ER89" i="3"/>
  <c r="ER85" i="3"/>
  <c r="ES85" i="3"/>
  <c r="ES81" i="3"/>
  <c r="ER81" i="3"/>
  <c r="ES77" i="3"/>
  <c r="ER77" i="3"/>
  <c r="ER73" i="3"/>
  <c r="ES73" i="3"/>
  <c r="ER69" i="3"/>
  <c r="ES69" i="3"/>
  <c r="ES65" i="3"/>
  <c r="ER65" i="3"/>
  <c r="ER61" i="3"/>
  <c r="ES61" i="3"/>
  <c r="ER57" i="3"/>
  <c r="ES57" i="3"/>
  <c r="ER53" i="3"/>
  <c r="ES53" i="3"/>
  <c r="ES49" i="3"/>
  <c r="ER49" i="3"/>
  <c r="ER45" i="3"/>
  <c r="ES45" i="3"/>
  <c r="ER33" i="3"/>
  <c r="ES33" i="3"/>
  <c r="ER16" i="3"/>
  <c r="ES16" i="3"/>
  <c r="ER12" i="3"/>
  <c r="ES12" i="3"/>
  <c r="ER8" i="3"/>
  <c r="ES8" i="3"/>
  <c r="ES91" i="3"/>
  <c r="ER91" i="3"/>
  <c r="ES87" i="3"/>
  <c r="ER87" i="3"/>
  <c r="ES83" i="3"/>
  <c r="ER83" i="3"/>
  <c r="ES79" i="3"/>
  <c r="ER79" i="3"/>
  <c r="ES75" i="3"/>
  <c r="ER75" i="3"/>
  <c r="ES71" i="3"/>
  <c r="ER71" i="3"/>
  <c r="ES67" i="3"/>
  <c r="ER67" i="3"/>
  <c r="ES63" i="3"/>
  <c r="ER63" i="3"/>
  <c r="ES59" i="3"/>
  <c r="ER59" i="3"/>
  <c r="ES55" i="3"/>
  <c r="ER55" i="3"/>
  <c r="ES51" i="3"/>
  <c r="ER51" i="3"/>
  <c r="ES47" i="3"/>
  <c r="ER47" i="3"/>
  <c r="ES35" i="3"/>
  <c r="ER35" i="3"/>
  <c r="ES31" i="3"/>
  <c r="ER31" i="3"/>
  <c r="ER14" i="3"/>
  <c r="ES14" i="3"/>
  <c r="ER10" i="3"/>
  <c r="ES10" i="3"/>
  <c r="ER94" i="3"/>
  <c r="ES94" i="3"/>
  <c r="ER90" i="3"/>
  <c r="ES90" i="3"/>
  <c r="ER86" i="3"/>
  <c r="ES86" i="3"/>
  <c r="ER82" i="3"/>
  <c r="ES82" i="3"/>
  <c r="ER78" i="3"/>
  <c r="ES78" i="3"/>
  <c r="ER74" i="3"/>
  <c r="ES74" i="3"/>
  <c r="ER70" i="3"/>
  <c r="ES70" i="3"/>
  <c r="ER66" i="3"/>
  <c r="ES66" i="3"/>
  <c r="ER62" i="3"/>
  <c r="ES62" i="3"/>
  <c r="ER58" i="3"/>
  <c r="ES58" i="3"/>
  <c r="ER54" i="3"/>
  <c r="ES54" i="3"/>
  <c r="ER50" i="3"/>
  <c r="ES50" i="3"/>
  <c r="ER46" i="3"/>
  <c r="ES46" i="3"/>
  <c r="ER34" i="3"/>
  <c r="ES34" i="3"/>
  <c r="ER30" i="3"/>
  <c r="ES30" i="3"/>
  <c r="ER22" i="3"/>
  <c r="ES22" i="3"/>
  <c r="ES13" i="3"/>
  <c r="ER13" i="3"/>
  <c r="ER9" i="3"/>
  <c r="ES9" i="3"/>
  <c r="ER92" i="3"/>
  <c r="ES92" i="3"/>
  <c r="ES88" i="3"/>
  <c r="ER88" i="3"/>
  <c r="ES84" i="3"/>
  <c r="ER84" i="3"/>
  <c r="ER80" i="3"/>
  <c r="ES80" i="3"/>
  <c r="ER76" i="3"/>
  <c r="ES76" i="3"/>
  <c r="ES72" i="3"/>
  <c r="ER72" i="3"/>
  <c r="ER68" i="3"/>
  <c r="ES68" i="3"/>
  <c r="ER64" i="3"/>
  <c r="ES64" i="3"/>
  <c r="ER60" i="3"/>
  <c r="ES60" i="3"/>
  <c r="ES56" i="3"/>
  <c r="ER56" i="3"/>
  <c r="ER52" i="3"/>
  <c r="ES52" i="3"/>
  <c r="ER48" i="3"/>
  <c r="ES48" i="3"/>
  <c r="ER44" i="3"/>
  <c r="ES44" i="3"/>
  <c r="ES15" i="3"/>
  <c r="ER15" i="3"/>
  <c r="ES11" i="3"/>
  <c r="ER11" i="3"/>
  <c r="ES7" i="3"/>
  <c r="ER7" i="3"/>
  <c r="EL91" i="3"/>
  <c r="EH91" i="3"/>
  <c r="ED91" i="3"/>
  <c r="DZ91" i="3"/>
  <c r="DV91" i="3"/>
  <c r="EK91" i="3"/>
  <c r="EF91" i="3"/>
  <c r="EA91" i="3"/>
  <c r="DU91" i="3"/>
  <c r="DP91" i="3"/>
  <c r="EO91" i="3"/>
  <c r="EI91" i="3"/>
  <c r="EB91" i="3"/>
  <c r="DT91" i="3"/>
  <c r="DF91" i="3"/>
  <c r="DJ91" i="3"/>
  <c r="EN91" i="3"/>
  <c r="EG91" i="3"/>
  <c r="DY91" i="3"/>
  <c r="DS91" i="3"/>
  <c r="EE91" i="3"/>
  <c r="DQ91" i="3"/>
  <c r="EJ91" i="3"/>
  <c r="DO91" i="3"/>
  <c r="DW91" i="3"/>
  <c r="DM91" i="3"/>
  <c r="EM91" i="3"/>
  <c r="DI91" i="3"/>
  <c r="DK91" i="3"/>
  <c r="EC91" i="3"/>
  <c r="DL91" i="3"/>
  <c r="DX91" i="3"/>
  <c r="DE91" i="3"/>
  <c r="DG91" i="3"/>
  <c r="EL87" i="3"/>
  <c r="EH87" i="3"/>
  <c r="ED87" i="3"/>
  <c r="DZ87" i="3"/>
  <c r="DV87" i="3"/>
  <c r="EM87" i="3"/>
  <c r="EG87" i="3"/>
  <c r="EB87" i="3"/>
  <c r="DW87" i="3"/>
  <c r="DQ87" i="3"/>
  <c r="EJ87" i="3"/>
  <c r="EC87" i="3"/>
  <c r="DU87" i="3"/>
  <c r="DO87" i="3"/>
  <c r="DF87" i="3"/>
  <c r="DJ87" i="3"/>
  <c r="EO87" i="3"/>
  <c r="EI87" i="3"/>
  <c r="EA87" i="3"/>
  <c r="DT87" i="3"/>
  <c r="EN87" i="3"/>
  <c r="DY87" i="3"/>
  <c r="EE87" i="3"/>
  <c r="DX87" i="3"/>
  <c r="DS87" i="3"/>
  <c r="DG87" i="3"/>
  <c r="DL87" i="3"/>
  <c r="DP87" i="3"/>
  <c r="DM87" i="3"/>
  <c r="EF87" i="3"/>
  <c r="DE87" i="3"/>
  <c r="DI87" i="3"/>
  <c r="EK87" i="3"/>
  <c r="DK87" i="3"/>
  <c r="EL83" i="3"/>
  <c r="EH83" i="3"/>
  <c r="ED83" i="3"/>
  <c r="DZ83" i="3"/>
  <c r="DV83" i="3"/>
  <c r="EN83" i="3"/>
  <c r="EI83" i="3"/>
  <c r="EC83" i="3"/>
  <c r="DX83" i="3"/>
  <c r="DS83" i="3"/>
  <c r="EK83" i="3"/>
  <c r="EE83" i="3"/>
  <c r="DW83" i="3"/>
  <c r="DP83" i="3"/>
  <c r="DF83" i="3"/>
  <c r="DJ83" i="3"/>
  <c r="EJ83" i="3"/>
  <c r="EB83" i="3"/>
  <c r="DU83" i="3"/>
  <c r="DO83" i="3"/>
  <c r="EG83" i="3"/>
  <c r="DT83" i="3"/>
  <c r="EO83" i="3"/>
  <c r="DY83" i="3"/>
  <c r="EF83" i="3"/>
  <c r="EA83" i="3"/>
  <c r="DE83" i="3"/>
  <c r="DK83" i="3"/>
  <c r="DQ83" i="3"/>
  <c r="DG83" i="3"/>
  <c r="DL83" i="3"/>
  <c r="DI83" i="3"/>
  <c r="EM83" i="3"/>
  <c r="DM83" i="3"/>
  <c r="EL79" i="3"/>
  <c r="EH79" i="3"/>
  <c r="ED79" i="3"/>
  <c r="DZ79" i="3"/>
  <c r="DV79" i="3"/>
  <c r="EO79" i="3"/>
  <c r="EJ79" i="3"/>
  <c r="EE79" i="3"/>
  <c r="DY79" i="3"/>
  <c r="DT79" i="3"/>
  <c r="DO79" i="3"/>
  <c r="EM79" i="3"/>
  <c r="EF79" i="3"/>
  <c r="DX79" i="3"/>
  <c r="DQ79" i="3"/>
  <c r="DF79" i="3"/>
  <c r="DJ79" i="3"/>
  <c r="EK79" i="3"/>
  <c r="EC79" i="3"/>
  <c r="DW79" i="3"/>
  <c r="DP79" i="3"/>
  <c r="EN79" i="3"/>
  <c r="EA79" i="3"/>
  <c r="DU79" i="3"/>
  <c r="EI79" i="3"/>
  <c r="DI79" i="3"/>
  <c r="EG79" i="3"/>
  <c r="DE79" i="3"/>
  <c r="DK79" i="3"/>
  <c r="DL79" i="3"/>
  <c r="EB79" i="3"/>
  <c r="DM79" i="3"/>
  <c r="DS79" i="3"/>
  <c r="DG79" i="3"/>
  <c r="EL75" i="3"/>
  <c r="EH75" i="3"/>
  <c r="ED75" i="3"/>
  <c r="DZ75" i="3"/>
  <c r="DV75" i="3"/>
  <c r="DR75" i="3"/>
  <c r="EK75" i="3"/>
  <c r="EF75" i="3"/>
  <c r="EA75" i="3"/>
  <c r="DU75" i="3"/>
  <c r="DP75" i="3"/>
  <c r="EN75" i="3"/>
  <c r="EG75" i="3"/>
  <c r="DY75" i="3"/>
  <c r="DS75" i="3"/>
  <c r="DF75" i="3"/>
  <c r="DJ75" i="3"/>
  <c r="EM75" i="3"/>
  <c r="EE75" i="3"/>
  <c r="DX75" i="3"/>
  <c r="DQ75" i="3"/>
  <c r="EI75" i="3"/>
  <c r="DT75" i="3"/>
  <c r="EJ75" i="3"/>
  <c r="DO75" i="3"/>
  <c r="DG75" i="3"/>
  <c r="DL75" i="3"/>
  <c r="DW75" i="3"/>
  <c r="DK75" i="3"/>
  <c r="EO75" i="3"/>
  <c r="DE75" i="3"/>
  <c r="DM75" i="3"/>
  <c r="DH75" i="3"/>
  <c r="EC75" i="3"/>
  <c r="DI75" i="3"/>
  <c r="EB75" i="3"/>
  <c r="EO71" i="3"/>
  <c r="EK71" i="3"/>
  <c r="EG71" i="3"/>
  <c r="EC71" i="3"/>
  <c r="DY71" i="3"/>
  <c r="DU71" i="3"/>
  <c r="DQ71" i="3"/>
  <c r="EM71" i="3"/>
  <c r="EH71" i="3"/>
  <c r="EB71" i="3"/>
  <c r="DW71" i="3"/>
  <c r="DF71" i="3"/>
  <c r="DJ71" i="3"/>
  <c r="EL71" i="3"/>
  <c r="EF71" i="3"/>
  <c r="EA71" i="3"/>
  <c r="DV71" i="3"/>
  <c r="DP71" i="3"/>
  <c r="EI71" i="3"/>
  <c r="DX71" i="3"/>
  <c r="EE71" i="3"/>
  <c r="DS71" i="3"/>
  <c r="DE71" i="3"/>
  <c r="DK71" i="3"/>
  <c r="DZ71" i="3"/>
  <c r="DL71" i="3"/>
  <c r="EN71" i="3"/>
  <c r="DT71" i="3"/>
  <c r="DG71" i="3"/>
  <c r="DM71" i="3"/>
  <c r="ED71" i="3"/>
  <c r="DO71" i="3"/>
  <c r="EJ71" i="3"/>
  <c r="DI71" i="3"/>
  <c r="EO67" i="3"/>
  <c r="EK67" i="3"/>
  <c r="EG67" i="3"/>
  <c r="EC67" i="3"/>
  <c r="DY67" i="3"/>
  <c r="DU67" i="3"/>
  <c r="DQ67" i="3"/>
  <c r="EN67" i="3"/>
  <c r="EI67" i="3"/>
  <c r="ED67" i="3"/>
  <c r="DX67" i="3"/>
  <c r="DS67" i="3"/>
  <c r="DF67" i="3"/>
  <c r="DJ67" i="3"/>
  <c r="EM67" i="3"/>
  <c r="EH67" i="3"/>
  <c r="EB67" i="3"/>
  <c r="DW67" i="3"/>
  <c r="DR67" i="3"/>
  <c r="EJ67" i="3"/>
  <c r="DZ67" i="3"/>
  <c r="DO67" i="3"/>
  <c r="EA67" i="3"/>
  <c r="DI67" i="3"/>
  <c r="EL67" i="3"/>
  <c r="DT67" i="3"/>
  <c r="DE67" i="3"/>
  <c r="DL67" i="3"/>
  <c r="EF67" i="3"/>
  <c r="DP67" i="3"/>
  <c r="DG67" i="3"/>
  <c r="DM67" i="3"/>
  <c r="DV67" i="3"/>
  <c r="DH67" i="3"/>
  <c r="DK67" i="3"/>
  <c r="EE67" i="3"/>
  <c r="EO63" i="3"/>
  <c r="EK63" i="3"/>
  <c r="EG63" i="3"/>
  <c r="EC63" i="3"/>
  <c r="DY63" i="3"/>
  <c r="DU63" i="3"/>
  <c r="DQ63" i="3"/>
  <c r="EJ63" i="3"/>
  <c r="EE63" i="3"/>
  <c r="DZ63" i="3"/>
  <c r="DT63" i="3"/>
  <c r="DO63" i="3"/>
  <c r="DF63" i="3"/>
  <c r="DJ63" i="3"/>
  <c r="EN63" i="3"/>
  <c r="EI63" i="3"/>
  <c r="ED63" i="3"/>
  <c r="DX63" i="3"/>
  <c r="DS63" i="3"/>
  <c r="EL63" i="3"/>
  <c r="EA63" i="3"/>
  <c r="DP63" i="3"/>
  <c r="EH63" i="3"/>
  <c r="DV63" i="3"/>
  <c r="DM63" i="3"/>
  <c r="EF63" i="3"/>
  <c r="DE63" i="3"/>
  <c r="DL63" i="3"/>
  <c r="EB63" i="3"/>
  <c r="DG63" i="3"/>
  <c r="EM63" i="3"/>
  <c r="DI63" i="3"/>
  <c r="DW63" i="3"/>
  <c r="DK63" i="3"/>
  <c r="EO59" i="3"/>
  <c r="EK59" i="3"/>
  <c r="EG59" i="3"/>
  <c r="EC59" i="3"/>
  <c r="DY59" i="3"/>
  <c r="DU59" i="3"/>
  <c r="DQ59" i="3"/>
  <c r="EL59" i="3"/>
  <c r="EF59" i="3"/>
  <c r="EA59" i="3"/>
  <c r="DV59" i="3"/>
  <c r="DP59" i="3"/>
  <c r="DF59" i="3"/>
  <c r="DJ59" i="3"/>
  <c r="EJ59" i="3"/>
  <c r="EE59" i="3"/>
  <c r="DZ59" i="3"/>
  <c r="DT59" i="3"/>
  <c r="DO59" i="3"/>
  <c r="EM59" i="3"/>
  <c r="EB59" i="3"/>
  <c r="ED59" i="3"/>
  <c r="DG59" i="3"/>
  <c r="DL59" i="3"/>
  <c r="DX59" i="3"/>
  <c r="DE59" i="3"/>
  <c r="DM59" i="3"/>
  <c r="EN59" i="3"/>
  <c r="DW59" i="3"/>
  <c r="DI59" i="3"/>
  <c r="EI59" i="3"/>
  <c r="DK59" i="3"/>
  <c r="EH59" i="3"/>
  <c r="DS59" i="3"/>
  <c r="EO55" i="3"/>
  <c r="EK55" i="3"/>
  <c r="EG55" i="3"/>
  <c r="EC55" i="3"/>
  <c r="DY55" i="3"/>
  <c r="DU55" i="3"/>
  <c r="DQ55" i="3"/>
  <c r="EM55" i="3"/>
  <c r="EH55" i="3"/>
  <c r="EB55" i="3"/>
  <c r="DW55" i="3"/>
  <c r="DF55" i="3"/>
  <c r="DJ55" i="3"/>
  <c r="EL55" i="3"/>
  <c r="EF55" i="3"/>
  <c r="EA55" i="3"/>
  <c r="DV55" i="3"/>
  <c r="DP55" i="3"/>
  <c r="EN55" i="3"/>
  <c r="ED55" i="3"/>
  <c r="DS55" i="3"/>
  <c r="EJ55" i="3"/>
  <c r="DX55" i="3"/>
  <c r="DE55" i="3"/>
  <c r="DK55" i="3"/>
  <c r="DT55" i="3"/>
  <c r="DG55" i="3"/>
  <c r="DM55" i="3"/>
  <c r="EI55" i="3"/>
  <c r="DO55" i="3"/>
  <c r="EE55" i="3"/>
  <c r="DZ55" i="3"/>
  <c r="DI55" i="3"/>
  <c r="DL55" i="3"/>
  <c r="EO51" i="3"/>
  <c r="EK51" i="3"/>
  <c r="EG51" i="3"/>
  <c r="EC51" i="3"/>
  <c r="DY51" i="3"/>
  <c r="DU51" i="3"/>
  <c r="DQ51" i="3"/>
  <c r="EN51" i="3"/>
  <c r="EI51" i="3"/>
  <c r="ED51" i="3"/>
  <c r="DX51" i="3"/>
  <c r="DS51" i="3"/>
  <c r="DF51" i="3"/>
  <c r="DJ51" i="3"/>
  <c r="EM51" i="3"/>
  <c r="EH51" i="3"/>
  <c r="EB51" i="3"/>
  <c r="DW51" i="3"/>
  <c r="DR51" i="3"/>
  <c r="EE51" i="3"/>
  <c r="DT51" i="3"/>
  <c r="EF51" i="3"/>
  <c r="DP51" i="3"/>
  <c r="DI51" i="3"/>
  <c r="EJ51" i="3"/>
  <c r="DO51" i="3"/>
  <c r="DG51" i="3"/>
  <c r="DM51" i="3"/>
  <c r="EA51" i="3"/>
  <c r="DH51" i="3"/>
  <c r="EL51" i="3"/>
  <c r="DK51" i="3"/>
  <c r="DZ51" i="3"/>
  <c r="DL51" i="3"/>
  <c r="DV51" i="3"/>
  <c r="DE51" i="3"/>
  <c r="EO47" i="3"/>
  <c r="EK47" i="3"/>
  <c r="EG47" i="3"/>
  <c r="EC47" i="3"/>
  <c r="DY47" i="3"/>
  <c r="DU47" i="3"/>
  <c r="DQ47" i="3"/>
  <c r="EJ47" i="3"/>
  <c r="EE47" i="3"/>
  <c r="DZ47" i="3"/>
  <c r="DT47" i="3"/>
  <c r="DO47" i="3"/>
  <c r="DF47" i="3"/>
  <c r="DJ47" i="3"/>
  <c r="EN47" i="3"/>
  <c r="EI47" i="3"/>
  <c r="ED47" i="3"/>
  <c r="DX47" i="3"/>
  <c r="DS47" i="3"/>
  <c r="EF47" i="3"/>
  <c r="DV47" i="3"/>
  <c r="EM47" i="3"/>
  <c r="EA47" i="3"/>
  <c r="DM47" i="3"/>
  <c r="EB47" i="3"/>
  <c r="DG47" i="3"/>
  <c r="DW47" i="3"/>
  <c r="DI47" i="3"/>
  <c r="EH47" i="3"/>
  <c r="DE47" i="3"/>
  <c r="DP47" i="3"/>
  <c r="DK47" i="3"/>
  <c r="EL47" i="3"/>
  <c r="DL47" i="3"/>
  <c r="EO43" i="3"/>
  <c r="EK43" i="3"/>
  <c r="EG43" i="3"/>
  <c r="EC43" i="3"/>
  <c r="DY43" i="3"/>
  <c r="DU43" i="3"/>
  <c r="DQ43" i="3"/>
  <c r="EL43" i="3"/>
  <c r="EF43" i="3"/>
  <c r="EA43" i="3"/>
  <c r="DV43" i="3"/>
  <c r="DP43" i="3"/>
  <c r="DF43" i="3"/>
  <c r="DJ43" i="3"/>
  <c r="EJ43" i="3"/>
  <c r="EE43" i="3"/>
  <c r="DZ43" i="3"/>
  <c r="DT43" i="3"/>
  <c r="DO43" i="3"/>
  <c r="EH43" i="3"/>
  <c r="DW43" i="3"/>
  <c r="EI43" i="3"/>
  <c r="DS43" i="3"/>
  <c r="DG43" i="3"/>
  <c r="DL43" i="3"/>
  <c r="EN43" i="3"/>
  <c r="DX43" i="3"/>
  <c r="DH43" i="3"/>
  <c r="EM43" i="3"/>
  <c r="DR43" i="3"/>
  <c r="DI43" i="3"/>
  <c r="EB43" i="3"/>
  <c r="DK43" i="3"/>
  <c r="DM43" i="3"/>
  <c r="ED43" i="3"/>
  <c r="DE43" i="3"/>
  <c r="EO39" i="3"/>
  <c r="EK39" i="3"/>
  <c r="EG39" i="3"/>
  <c r="EC39" i="3"/>
  <c r="DY39" i="3"/>
  <c r="DU39" i="3"/>
  <c r="DQ39" i="3"/>
  <c r="EM39" i="3"/>
  <c r="EH39" i="3"/>
  <c r="EB39" i="3"/>
  <c r="DW39" i="3"/>
  <c r="DR39" i="3"/>
  <c r="DF39" i="3"/>
  <c r="DJ39" i="3"/>
  <c r="EL39" i="3"/>
  <c r="EF39" i="3"/>
  <c r="EA39" i="3"/>
  <c r="DV39" i="3"/>
  <c r="DP39" i="3"/>
  <c r="EI39" i="3"/>
  <c r="DX39" i="3"/>
  <c r="ED39" i="3"/>
  <c r="DO39" i="3"/>
  <c r="DE39" i="3"/>
  <c r="DK39" i="3"/>
  <c r="EJ39" i="3"/>
  <c r="DS39" i="3"/>
  <c r="DH39" i="3"/>
  <c r="EE39" i="3"/>
  <c r="DI39" i="3"/>
  <c r="DT39" i="3"/>
  <c r="DG39" i="3"/>
  <c r="EN39" i="3"/>
  <c r="DL39" i="3"/>
  <c r="DZ39" i="3"/>
  <c r="DM39" i="3"/>
  <c r="EO35" i="3"/>
  <c r="EK35" i="3"/>
  <c r="EG35" i="3"/>
  <c r="EC35" i="3"/>
  <c r="DY35" i="3"/>
  <c r="DU35" i="3"/>
  <c r="DQ35" i="3"/>
  <c r="EN35" i="3"/>
  <c r="EI35" i="3"/>
  <c r="ED35" i="3"/>
  <c r="DX35" i="3"/>
  <c r="DS35" i="3"/>
  <c r="DF35" i="3"/>
  <c r="DJ35" i="3"/>
  <c r="EM35" i="3"/>
  <c r="EH35" i="3"/>
  <c r="EB35" i="3"/>
  <c r="DW35" i="3"/>
  <c r="DR35" i="3"/>
  <c r="EE35" i="3"/>
  <c r="DT35" i="3"/>
  <c r="DI35" i="3"/>
  <c r="EJ35" i="3"/>
  <c r="DV35" i="3"/>
  <c r="DH35" i="3"/>
  <c r="EF35" i="3"/>
  <c r="DP35" i="3"/>
  <c r="DK35" i="3"/>
  <c r="DZ35" i="3"/>
  <c r="DL35" i="3"/>
  <c r="DO35" i="3"/>
  <c r="DM35" i="3"/>
  <c r="EL35" i="3"/>
  <c r="DE35" i="3"/>
  <c r="EA35" i="3"/>
  <c r="DG35" i="3"/>
  <c r="EO31" i="3"/>
  <c r="EK31" i="3"/>
  <c r="EG31" i="3"/>
  <c r="EC31" i="3"/>
  <c r="DY31" i="3"/>
  <c r="DU31" i="3"/>
  <c r="DQ31" i="3"/>
  <c r="EJ31" i="3"/>
  <c r="EE31" i="3"/>
  <c r="DZ31" i="3"/>
  <c r="DT31" i="3"/>
  <c r="DO31" i="3"/>
  <c r="DF31" i="3"/>
  <c r="DJ31" i="3"/>
  <c r="EN31" i="3"/>
  <c r="EI31" i="3"/>
  <c r="ED31" i="3"/>
  <c r="DX31" i="3"/>
  <c r="DS31" i="3"/>
  <c r="EF31" i="3"/>
  <c r="DV31" i="3"/>
  <c r="DH31" i="3"/>
  <c r="DM31" i="3"/>
  <c r="EB31" i="3"/>
  <c r="DP31" i="3"/>
  <c r="DI31" i="3"/>
  <c r="EM31" i="3"/>
  <c r="EA31" i="3"/>
  <c r="DK31" i="3"/>
  <c r="DR31" i="3"/>
  <c r="DE31" i="3"/>
  <c r="EL31" i="3"/>
  <c r="DG31" i="3"/>
  <c r="EH31" i="3"/>
  <c r="DL31" i="3"/>
  <c r="DW31" i="3"/>
  <c r="EO27" i="3"/>
  <c r="EK27" i="3"/>
  <c r="EG27" i="3"/>
  <c r="EC27" i="3"/>
  <c r="DY27" i="3"/>
  <c r="DU27" i="3"/>
  <c r="DQ27" i="3"/>
  <c r="EL27" i="3"/>
  <c r="EF27" i="3"/>
  <c r="EA27" i="3"/>
  <c r="DV27" i="3"/>
  <c r="DP27" i="3"/>
  <c r="DF27" i="3"/>
  <c r="DJ27" i="3"/>
  <c r="EJ27" i="3"/>
  <c r="EE27" i="3"/>
  <c r="DZ27" i="3"/>
  <c r="DT27" i="3"/>
  <c r="DO27" i="3"/>
  <c r="EH27" i="3"/>
  <c r="DW27" i="3"/>
  <c r="DG27" i="3"/>
  <c r="DL27" i="3"/>
  <c r="EM27" i="3"/>
  <c r="DX27" i="3"/>
  <c r="DI27" i="3"/>
  <c r="EI27" i="3"/>
  <c r="DS27" i="3"/>
  <c r="DK27" i="3"/>
  <c r="EN27" i="3"/>
  <c r="DM27" i="3"/>
  <c r="ED27" i="3"/>
  <c r="EB27" i="3"/>
  <c r="DE27" i="3"/>
  <c r="DR27" i="3"/>
  <c r="DH27" i="3"/>
  <c r="EO23" i="3"/>
  <c r="EK23" i="3"/>
  <c r="EG23" i="3"/>
  <c r="EC23" i="3"/>
  <c r="DY23" i="3"/>
  <c r="DU23" i="3"/>
  <c r="DQ23" i="3"/>
  <c r="EM23" i="3"/>
  <c r="EH23" i="3"/>
  <c r="EB23" i="3"/>
  <c r="DW23" i="3"/>
  <c r="DR23" i="3"/>
  <c r="DF23" i="3"/>
  <c r="DJ23" i="3"/>
  <c r="EL23" i="3"/>
  <c r="EF23" i="3"/>
  <c r="EA23" i="3"/>
  <c r="DV23" i="3"/>
  <c r="DP23" i="3"/>
  <c r="EI23" i="3"/>
  <c r="DX23" i="3"/>
  <c r="DE23" i="3"/>
  <c r="DK23" i="3"/>
  <c r="EE23" i="3"/>
  <c r="DS23" i="3"/>
  <c r="DI23" i="3"/>
  <c r="ED23" i="3"/>
  <c r="DO23" i="3"/>
  <c r="DL23" i="3"/>
  <c r="EJ23" i="3"/>
  <c r="DG23" i="3"/>
  <c r="DZ23" i="3"/>
  <c r="DH23" i="3"/>
  <c r="DT23" i="3"/>
  <c r="DM23" i="3"/>
  <c r="EN23" i="3"/>
  <c r="EO19" i="3"/>
  <c r="EK19" i="3"/>
  <c r="EG19" i="3"/>
  <c r="EC19" i="3"/>
  <c r="DY19" i="3"/>
  <c r="DU19" i="3"/>
  <c r="DQ19" i="3"/>
  <c r="EN19" i="3"/>
  <c r="EI19" i="3"/>
  <c r="ED19" i="3"/>
  <c r="DX19" i="3"/>
  <c r="DS19" i="3"/>
  <c r="DF19" i="3"/>
  <c r="DJ19" i="3"/>
  <c r="EM19" i="3"/>
  <c r="EH19" i="3"/>
  <c r="EB19" i="3"/>
  <c r="DW19" i="3"/>
  <c r="DR19" i="3"/>
  <c r="EJ19" i="3"/>
  <c r="DZ19" i="3"/>
  <c r="DO19" i="3"/>
  <c r="DI19" i="3"/>
  <c r="EA19" i="3"/>
  <c r="DK19" i="3"/>
  <c r="EL19" i="3"/>
  <c r="DV19" i="3"/>
  <c r="DE19" i="3"/>
  <c r="DL19" i="3"/>
  <c r="EE19" i="3"/>
  <c r="DM19" i="3"/>
  <c r="DT19" i="3"/>
  <c r="DP19" i="3"/>
  <c r="DG19" i="3"/>
  <c r="EF19" i="3"/>
  <c r="DH19" i="3"/>
  <c r="EN14" i="3"/>
  <c r="EJ14" i="3"/>
  <c r="EF14" i="3"/>
  <c r="EB14" i="3"/>
  <c r="DX14" i="3"/>
  <c r="DT14" i="3"/>
  <c r="DP14" i="3"/>
  <c r="EO14" i="3"/>
  <c r="EI14" i="3"/>
  <c r="ED14" i="3"/>
  <c r="DY14" i="3"/>
  <c r="DS14" i="3"/>
  <c r="DG14" i="3"/>
  <c r="DK14" i="3"/>
  <c r="EM14" i="3"/>
  <c r="EG14" i="3"/>
  <c r="DZ14" i="3"/>
  <c r="DI14" i="3"/>
  <c r="EH14" i="3"/>
  <c r="DW14" i="3"/>
  <c r="DO14" i="3"/>
  <c r="DE14" i="3"/>
  <c r="DL14" i="3"/>
  <c r="EE14" i="3"/>
  <c r="DV14" i="3"/>
  <c r="DF14" i="3"/>
  <c r="DM14" i="3"/>
  <c r="EA14" i="3"/>
  <c r="EL14" i="3"/>
  <c r="DU14" i="3"/>
  <c r="DJ14" i="3"/>
  <c r="EK14" i="3"/>
  <c r="DQ14" i="3"/>
  <c r="EC14" i="3"/>
  <c r="EN10" i="3"/>
  <c r="EJ10" i="3"/>
  <c r="EF10" i="3"/>
  <c r="EB10" i="3"/>
  <c r="DX10" i="3"/>
  <c r="DT10" i="3"/>
  <c r="DP10" i="3"/>
  <c r="EK10" i="3"/>
  <c r="EE10" i="3"/>
  <c r="DZ10" i="3"/>
  <c r="DU10" i="3"/>
  <c r="DO10" i="3"/>
  <c r="DG10" i="3"/>
  <c r="DK10" i="3"/>
  <c r="EO10" i="3"/>
  <c r="EH10" i="3"/>
  <c r="EA10" i="3"/>
  <c r="DS10" i="3"/>
  <c r="DM10" i="3"/>
  <c r="EL10" i="3"/>
  <c r="EC10" i="3"/>
  <c r="DE10" i="3"/>
  <c r="DL10" i="3"/>
  <c r="EI10" i="3"/>
  <c r="DY10" i="3"/>
  <c r="DQ10" i="3"/>
  <c r="DF10" i="3"/>
  <c r="EM10" i="3"/>
  <c r="DV10" i="3"/>
  <c r="EG10" i="3"/>
  <c r="ED10" i="3"/>
  <c r="DI10" i="3"/>
  <c r="DW10" i="3"/>
  <c r="DJ10" i="3"/>
  <c r="EO94" i="3"/>
  <c r="EK94" i="3"/>
  <c r="EG94" i="3"/>
  <c r="EC94" i="3"/>
  <c r="DY94" i="3"/>
  <c r="DU94" i="3"/>
  <c r="DQ94" i="3"/>
  <c r="EJ94" i="3"/>
  <c r="EE94" i="3"/>
  <c r="DZ94" i="3"/>
  <c r="DT94" i="3"/>
  <c r="DO94" i="3"/>
  <c r="EM94" i="3"/>
  <c r="EF94" i="3"/>
  <c r="DX94" i="3"/>
  <c r="DG94" i="3"/>
  <c r="DK94" i="3"/>
  <c r="EL94" i="3"/>
  <c r="ED94" i="3"/>
  <c r="DW94" i="3"/>
  <c r="DP94" i="3"/>
  <c r="EI94" i="3"/>
  <c r="DV94" i="3"/>
  <c r="EB94" i="3"/>
  <c r="EN94" i="3"/>
  <c r="EH94" i="3"/>
  <c r="DM94" i="3"/>
  <c r="EA94" i="3"/>
  <c r="DI94" i="3"/>
  <c r="DE94" i="3"/>
  <c r="DS94" i="3"/>
  <c r="DF94" i="3"/>
  <c r="DJ94" i="3"/>
  <c r="DL94" i="3"/>
  <c r="EO90" i="3"/>
  <c r="EK90" i="3"/>
  <c r="EG90" i="3"/>
  <c r="EC90" i="3"/>
  <c r="DY90" i="3"/>
  <c r="DU90" i="3"/>
  <c r="DQ90" i="3"/>
  <c r="EL90" i="3"/>
  <c r="EF90" i="3"/>
  <c r="EA90" i="3"/>
  <c r="DV90" i="3"/>
  <c r="DP90" i="3"/>
  <c r="EN90" i="3"/>
  <c r="EH90" i="3"/>
  <c r="DZ90" i="3"/>
  <c r="DS90" i="3"/>
  <c r="DG90" i="3"/>
  <c r="DK90" i="3"/>
  <c r="EM90" i="3"/>
  <c r="EE90" i="3"/>
  <c r="DX90" i="3"/>
  <c r="ED90" i="3"/>
  <c r="DO90" i="3"/>
  <c r="DW90" i="3"/>
  <c r="DT90" i="3"/>
  <c r="EJ90" i="3"/>
  <c r="DF90" i="3"/>
  <c r="DL90" i="3"/>
  <c r="EI90" i="3"/>
  <c r="DM90" i="3"/>
  <c r="DI90" i="3"/>
  <c r="DJ90" i="3"/>
  <c r="EB90" i="3"/>
  <c r="DE90" i="3"/>
  <c r="EO86" i="3"/>
  <c r="EK86" i="3"/>
  <c r="EG86" i="3"/>
  <c r="EC86" i="3"/>
  <c r="DY86" i="3"/>
  <c r="DU86" i="3"/>
  <c r="DQ86" i="3"/>
  <c r="EM86" i="3"/>
  <c r="EH86" i="3"/>
  <c r="EB86" i="3"/>
  <c r="DW86" i="3"/>
  <c r="EI86" i="3"/>
  <c r="EA86" i="3"/>
  <c r="DT86" i="3"/>
  <c r="DG86" i="3"/>
  <c r="DK86" i="3"/>
  <c r="EN86" i="3"/>
  <c r="EF86" i="3"/>
  <c r="DZ86" i="3"/>
  <c r="DS86" i="3"/>
  <c r="EL86" i="3"/>
  <c r="DX86" i="3"/>
  <c r="EJ86" i="3"/>
  <c r="DP86" i="3"/>
  <c r="ED86" i="3"/>
  <c r="DO86" i="3"/>
  <c r="DE86" i="3"/>
  <c r="DJ86" i="3"/>
  <c r="DF86" i="3"/>
  <c r="DL86" i="3"/>
  <c r="DM86" i="3"/>
  <c r="EE86" i="3"/>
  <c r="DV86" i="3"/>
  <c r="DI86" i="3"/>
  <c r="EO82" i="3"/>
  <c r="EK82" i="3"/>
  <c r="EG82" i="3"/>
  <c r="EC82" i="3"/>
  <c r="DY82" i="3"/>
  <c r="DU82" i="3"/>
  <c r="DQ82" i="3"/>
  <c r="EN82" i="3"/>
  <c r="EI82" i="3"/>
  <c r="ED82" i="3"/>
  <c r="DX82" i="3"/>
  <c r="DS82" i="3"/>
  <c r="EJ82" i="3"/>
  <c r="EB82" i="3"/>
  <c r="DV82" i="3"/>
  <c r="DO82" i="3"/>
  <c r="DG82" i="3"/>
  <c r="DK82" i="3"/>
  <c r="EH82" i="3"/>
  <c r="EA82" i="3"/>
  <c r="DT82" i="3"/>
  <c r="EF82" i="3"/>
  <c r="EE82" i="3"/>
  <c r="EL82" i="3"/>
  <c r="DW82" i="3"/>
  <c r="DI82" i="3"/>
  <c r="DP82" i="3"/>
  <c r="DE82" i="3"/>
  <c r="DJ82" i="3"/>
  <c r="DZ82" i="3"/>
  <c r="DF82" i="3"/>
  <c r="DL82" i="3"/>
  <c r="EM82" i="3"/>
  <c r="DM82" i="3"/>
  <c r="EO78" i="3"/>
  <c r="EK78" i="3"/>
  <c r="EG78" i="3"/>
  <c r="EC78" i="3"/>
  <c r="DY78" i="3"/>
  <c r="DU78" i="3"/>
  <c r="DQ78" i="3"/>
  <c r="EJ78" i="3"/>
  <c r="EE78" i="3"/>
  <c r="DZ78" i="3"/>
  <c r="DT78" i="3"/>
  <c r="DO78" i="3"/>
  <c r="EL78" i="3"/>
  <c r="ED78" i="3"/>
  <c r="DW78" i="3"/>
  <c r="DP78" i="3"/>
  <c r="DG78" i="3"/>
  <c r="DK78" i="3"/>
  <c r="EI78" i="3"/>
  <c r="EB78" i="3"/>
  <c r="DV78" i="3"/>
  <c r="EM78" i="3"/>
  <c r="DX78" i="3"/>
  <c r="EF78" i="3"/>
  <c r="DF78" i="3"/>
  <c r="DL78" i="3"/>
  <c r="EN78" i="3"/>
  <c r="DE78" i="3"/>
  <c r="DM78" i="3"/>
  <c r="EH78" i="3"/>
  <c r="DS78" i="3"/>
  <c r="DI78" i="3"/>
  <c r="DJ78" i="3"/>
  <c r="EA78" i="3"/>
  <c r="EO74" i="3"/>
  <c r="EK74" i="3"/>
  <c r="EG74" i="3"/>
  <c r="EC74" i="3"/>
  <c r="DY74" i="3"/>
  <c r="DU74" i="3"/>
  <c r="DQ74" i="3"/>
  <c r="EL74" i="3"/>
  <c r="EF74" i="3"/>
  <c r="EA74" i="3"/>
  <c r="DV74" i="3"/>
  <c r="DP74" i="3"/>
  <c r="EM74" i="3"/>
  <c r="EE74" i="3"/>
  <c r="DX74" i="3"/>
  <c r="DG74" i="3"/>
  <c r="DK74" i="3"/>
  <c r="EJ74" i="3"/>
  <c r="ED74" i="3"/>
  <c r="DW74" i="3"/>
  <c r="DO74" i="3"/>
  <c r="EH74" i="3"/>
  <c r="DS74" i="3"/>
  <c r="DZ74" i="3"/>
  <c r="DE74" i="3"/>
  <c r="DJ74" i="3"/>
  <c r="DT74" i="3"/>
  <c r="DF74" i="3"/>
  <c r="DM74" i="3"/>
  <c r="EN74" i="3"/>
  <c r="EB74" i="3"/>
  <c r="DI74" i="3"/>
  <c r="EI74" i="3"/>
  <c r="DL74" i="3"/>
  <c r="EN70" i="3"/>
  <c r="EJ70" i="3"/>
  <c r="EF70" i="3"/>
  <c r="EB70" i="3"/>
  <c r="DX70" i="3"/>
  <c r="DT70" i="3"/>
  <c r="DP70" i="3"/>
  <c r="EM70" i="3"/>
  <c r="EH70" i="3"/>
  <c r="EC70" i="3"/>
  <c r="DW70" i="3"/>
  <c r="DG70" i="3"/>
  <c r="DK70" i="3"/>
  <c r="EL70" i="3"/>
  <c r="EG70" i="3"/>
  <c r="EA70" i="3"/>
  <c r="DV70" i="3"/>
  <c r="DQ70" i="3"/>
  <c r="EO70" i="3"/>
  <c r="ED70" i="3"/>
  <c r="DS70" i="3"/>
  <c r="EE70" i="3"/>
  <c r="DO70" i="3"/>
  <c r="DI70" i="3"/>
  <c r="EI70" i="3"/>
  <c r="DF70" i="3"/>
  <c r="DM70" i="3"/>
  <c r="DZ70" i="3"/>
  <c r="DU70" i="3"/>
  <c r="DJ70" i="3"/>
  <c r="DL70" i="3"/>
  <c r="EK70" i="3"/>
  <c r="DY70" i="3"/>
  <c r="DE70" i="3"/>
  <c r="EN66" i="3"/>
  <c r="EJ66" i="3"/>
  <c r="EF66" i="3"/>
  <c r="EB66" i="3"/>
  <c r="DX66" i="3"/>
  <c r="DT66" i="3"/>
  <c r="DP66" i="3"/>
  <c r="EO66" i="3"/>
  <c r="EI66" i="3"/>
  <c r="ED66" i="3"/>
  <c r="DY66" i="3"/>
  <c r="DS66" i="3"/>
  <c r="DG66" i="3"/>
  <c r="DK66" i="3"/>
  <c r="EM66" i="3"/>
  <c r="EH66" i="3"/>
  <c r="EC66" i="3"/>
  <c r="DW66" i="3"/>
  <c r="DR66" i="3"/>
  <c r="EE66" i="3"/>
  <c r="DU66" i="3"/>
  <c r="EL66" i="3"/>
  <c r="DZ66" i="3"/>
  <c r="DH66" i="3"/>
  <c r="DM66" i="3"/>
  <c r="EA66" i="3"/>
  <c r="DF66" i="3"/>
  <c r="DV66" i="3"/>
  <c r="DI66" i="3"/>
  <c r="DO66" i="3"/>
  <c r="EK66" i="3"/>
  <c r="DE66" i="3"/>
  <c r="EG66" i="3"/>
  <c r="DJ66" i="3"/>
  <c r="DQ66" i="3"/>
  <c r="DL66" i="3"/>
  <c r="EN62" i="3"/>
  <c r="EJ62" i="3"/>
  <c r="EF62" i="3"/>
  <c r="EB62" i="3"/>
  <c r="DX62" i="3"/>
  <c r="DT62" i="3"/>
  <c r="DP62" i="3"/>
  <c r="EK62" i="3"/>
  <c r="EE62" i="3"/>
  <c r="DZ62" i="3"/>
  <c r="DU62" i="3"/>
  <c r="DO62" i="3"/>
  <c r="DG62" i="3"/>
  <c r="DK62" i="3"/>
  <c r="EO62" i="3"/>
  <c r="EI62" i="3"/>
  <c r="ED62" i="3"/>
  <c r="DY62" i="3"/>
  <c r="DS62" i="3"/>
  <c r="EG62" i="3"/>
  <c r="DV62" i="3"/>
  <c r="EH62" i="3"/>
  <c r="DR62" i="3"/>
  <c r="DF62" i="3"/>
  <c r="DL62" i="3"/>
  <c r="EM62" i="3"/>
  <c r="DW62" i="3"/>
  <c r="DH62" i="3"/>
  <c r="EL62" i="3"/>
  <c r="DQ62" i="3"/>
  <c r="DI62" i="3"/>
  <c r="DJ62" i="3"/>
  <c r="EC62" i="3"/>
  <c r="DM62" i="3"/>
  <c r="EA62" i="3"/>
  <c r="DE62" i="3"/>
  <c r="EN58" i="3"/>
  <c r="EJ58" i="3"/>
  <c r="EF58" i="3"/>
  <c r="EB58" i="3"/>
  <c r="DX58" i="3"/>
  <c r="DT58" i="3"/>
  <c r="DP58" i="3"/>
  <c r="EL58" i="3"/>
  <c r="EG58" i="3"/>
  <c r="EA58" i="3"/>
  <c r="DV58" i="3"/>
  <c r="DQ58" i="3"/>
  <c r="DG58" i="3"/>
  <c r="DK58" i="3"/>
  <c r="EK58" i="3"/>
  <c r="EE58" i="3"/>
  <c r="DZ58" i="3"/>
  <c r="DU58" i="3"/>
  <c r="DO58" i="3"/>
  <c r="EH58" i="3"/>
  <c r="DW58" i="3"/>
  <c r="EO58" i="3"/>
  <c r="EC58" i="3"/>
  <c r="DE58" i="3"/>
  <c r="DJ58" i="3"/>
  <c r="EI58" i="3"/>
  <c r="DR58" i="3"/>
  <c r="DH58" i="3"/>
  <c r="ED58" i="3"/>
  <c r="DI58" i="3"/>
  <c r="EM58" i="3"/>
  <c r="DY58" i="3"/>
  <c r="DF58" i="3"/>
  <c r="DS58" i="3"/>
  <c r="DL58" i="3"/>
  <c r="DM58" i="3"/>
  <c r="EN54" i="3"/>
  <c r="EJ54" i="3"/>
  <c r="EF54" i="3"/>
  <c r="EB54" i="3"/>
  <c r="DX54" i="3"/>
  <c r="DT54" i="3"/>
  <c r="DP54" i="3"/>
  <c r="EM54" i="3"/>
  <c r="EH54" i="3"/>
  <c r="EC54" i="3"/>
  <c r="DW54" i="3"/>
  <c r="DR54" i="3"/>
  <c r="DG54" i="3"/>
  <c r="DK54" i="3"/>
  <c r="EL54" i="3"/>
  <c r="EG54" i="3"/>
  <c r="EA54" i="3"/>
  <c r="DV54" i="3"/>
  <c r="DQ54" i="3"/>
  <c r="EI54" i="3"/>
  <c r="DY54" i="3"/>
  <c r="EK54" i="3"/>
  <c r="DU54" i="3"/>
  <c r="DI54" i="3"/>
  <c r="ED54" i="3"/>
  <c r="DH54" i="3"/>
  <c r="DZ54" i="3"/>
  <c r="DJ54" i="3"/>
  <c r="EE54" i="3"/>
  <c r="DL54" i="3"/>
  <c r="DS54" i="3"/>
  <c r="DM54" i="3"/>
  <c r="DO54" i="3"/>
  <c r="DE54" i="3"/>
  <c r="EO54" i="3"/>
  <c r="DF54" i="3"/>
  <c r="EN50" i="3"/>
  <c r="EJ50" i="3"/>
  <c r="EF50" i="3"/>
  <c r="EB50" i="3"/>
  <c r="DX50" i="3"/>
  <c r="DT50" i="3"/>
  <c r="DP50" i="3"/>
  <c r="EO50" i="3"/>
  <c r="EI50" i="3"/>
  <c r="ED50" i="3"/>
  <c r="DY50" i="3"/>
  <c r="DS50" i="3"/>
  <c r="DG50" i="3"/>
  <c r="DK50" i="3"/>
  <c r="EM50" i="3"/>
  <c r="EH50" i="3"/>
  <c r="EC50" i="3"/>
  <c r="DW50" i="3"/>
  <c r="EK50" i="3"/>
  <c r="DZ50" i="3"/>
  <c r="DO50" i="3"/>
  <c r="EE50" i="3"/>
  <c r="DQ50" i="3"/>
  <c r="DM50" i="3"/>
  <c r="DV50" i="3"/>
  <c r="DI50" i="3"/>
  <c r="EL50" i="3"/>
  <c r="DU50" i="3"/>
  <c r="DJ50" i="3"/>
  <c r="EA50" i="3"/>
  <c r="DE50" i="3"/>
  <c r="DF50" i="3"/>
  <c r="DL50" i="3"/>
  <c r="EG50" i="3"/>
  <c r="EN46" i="3"/>
  <c r="EJ46" i="3"/>
  <c r="EF46" i="3"/>
  <c r="EB46" i="3"/>
  <c r="DX46" i="3"/>
  <c r="DT46" i="3"/>
  <c r="DP46" i="3"/>
  <c r="EK46" i="3"/>
  <c r="EE46" i="3"/>
  <c r="DZ46" i="3"/>
  <c r="DU46" i="3"/>
  <c r="DO46" i="3"/>
  <c r="DG46" i="3"/>
  <c r="DK46" i="3"/>
  <c r="EO46" i="3"/>
  <c r="EI46" i="3"/>
  <c r="ED46" i="3"/>
  <c r="DY46" i="3"/>
  <c r="DS46" i="3"/>
  <c r="EL46" i="3"/>
  <c r="EA46" i="3"/>
  <c r="DQ46" i="3"/>
  <c r="EM46" i="3"/>
  <c r="DW46" i="3"/>
  <c r="DF46" i="3"/>
  <c r="DL46" i="3"/>
  <c r="EH46" i="3"/>
  <c r="DR46" i="3"/>
  <c r="DI46" i="3"/>
  <c r="EG46" i="3"/>
  <c r="DJ46" i="3"/>
  <c r="DV46" i="3"/>
  <c r="DM46" i="3"/>
  <c r="DE46" i="3"/>
  <c r="EC46" i="3"/>
  <c r="DH46" i="3"/>
  <c r="EN42" i="3"/>
  <c r="EJ42" i="3"/>
  <c r="EF42" i="3"/>
  <c r="EB42" i="3"/>
  <c r="DX42" i="3"/>
  <c r="DT42" i="3"/>
  <c r="DP42" i="3"/>
  <c r="EL42" i="3"/>
  <c r="EG42" i="3"/>
  <c r="EA42" i="3"/>
  <c r="DV42" i="3"/>
  <c r="DQ42" i="3"/>
  <c r="DG42" i="3"/>
  <c r="DK42" i="3"/>
  <c r="EK42" i="3"/>
  <c r="EE42" i="3"/>
  <c r="DZ42" i="3"/>
  <c r="DU42" i="3"/>
  <c r="DO42" i="3"/>
  <c r="EM42" i="3"/>
  <c r="EC42" i="3"/>
  <c r="DR42" i="3"/>
  <c r="EH42" i="3"/>
  <c r="DS42" i="3"/>
  <c r="DE42" i="3"/>
  <c r="DJ42" i="3"/>
  <c r="ED42" i="3"/>
  <c r="DI42" i="3"/>
  <c r="DY42" i="3"/>
  <c r="DL42" i="3"/>
  <c r="DF42" i="3"/>
  <c r="EO42" i="3"/>
  <c r="DH42" i="3"/>
  <c r="EI42" i="3"/>
  <c r="DM42" i="3"/>
  <c r="DW42" i="3"/>
  <c r="EN38" i="3"/>
  <c r="EJ38" i="3"/>
  <c r="EF38" i="3"/>
  <c r="EB38" i="3"/>
  <c r="DX38" i="3"/>
  <c r="DT38" i="3"/>
  <c r="DP38" i="3"/>
  <c r="EM38" i="3"/>
  <c r="EH38" i="3"/>
  <c r="EC38" i="3"/>
  <c r="DW38" i="3"/>
  <c r="DR38" i="3"/>
  <c r="DG38" i="3"/>
  <c r="DK38" i="3"/>
  <c r="EL38" i="3"/>
  <c r="EG38" i="3"/>
  <c r="EA38" i="3"/>
  <c r="DV38" i="3"/>
  <c r="DQ38" i="3"/>
  <c r="EO38" i="3"/>
  <c r="ED38" i="3"/>
  <c r="DS38" i="3"/>
  <c r="DZ38" i="3"/>
  <c r="DI38" i="3"/>
  <c r="DY38" i="3"/>
  <c r="DJ38" i="3"/>
  <c r="EK38" i="3"/>
  <c r="DU38" i="3"/>
  <c r="DE38" i="3"/>
  <c r="DL38" i="3"/>
  <c r="DM38" i="3"/>
  <c r="EI38" i="3"/>
  <c r="EE38" i="3"/>
  <c r="DF38" i="3"/>
  <c r="DO38" i="3"/>
  <c r="DH38" i="3"/>
  <c r="EN34" i="3"/>
  <c r="EJ34" i="3"/>
  <c r="EF34" i="3"/>
  <c r="EB34" i="3"/>
  <c r="DX34" i="3"/>
  <c r="DT34" i="3"/>
  <c r="DP34" i="3"/>
  <c r="EO34" i="3"/>
  <c r="EI34" i="3"/>
  <c r="ED34" i="3"/>
  <c r="DY34" i="3"/>
  <c r="DS34" i="3"/>
  <c r="DG34" i="3"/>
  <c r="DK34" i="3"/>
  <c r="EM34" i="3"/>
  <c r="EH34" i="3"/>
  <c r="EC34" i="3"/>
  <c r="DW34" i="3"/>
  <c r="DR34" i="3"/>
  <c r="EK34" i="3"/>
  <c r="DZ34" i="3"/>
  <c r="DO34" i="3"/>
  <c r="DH34" i="3"/>
  <c r="DM34" i="3"/>
  <c r="EG34" i="3"/>
  <c r="DU34" i="3"/>
  <c r="DJ34" i="3"/>
  <c r="EE34" i="3"/>
  <c r="DQ34" i="3"/>
  <c r="DE34" i="3"/>
  <c r="DL34" i="3"/>
  <c r="DV34" i="3"/>
  <c r="DF34" i="3"/>
  <c r="DI34" i="3"/>
  <c r="EL34" i="3"/>
  <c r="EA34" i="3"/>
  <c r="EN30" i="3"/>
  <c r="EJ30" i="3"/>
  <c r="EF30" i="3"/>
  <c r="EB30" i="3"/>
  <c r="DX30" i="3"/>
  <c r="DT30" i="3"/>
  <c r="DP30" i="3"/>
  <c r="EK30" i="3"/>
  <c r="EE30" i="3"/>
  <c r="DZ30" i="3"/>
  <c r="DU30" i="3"/>
  <c r="DO30" i="3"/>
  <c r="DG30" i="3"/>
  <c r="DK30" i="3"/>
  <c r="EO30" i="3"/>
  <c r="EI30" i="3"/>
  <c r="ED30" i="3"/>
  <c r="DY30" i="3"/>
  <c r="DS30" i="3"/>
  <c r="EL30" i="3"/>
  <c r="EA30" i="3"/>
  <c r="DQ30" i="3"/>
  <c r="DF30" i="3"/>
  <c r="DL30" i="3"/>
  <c r="EC30" i="3"/>
  <c r="DJ30" i="3"/>
  <c r="EM30" i="3"/>
  <c r="DW30" i="3"/>
  <c r="DE30" i="3"/>
  <c r="DM30" i="3"/>
  <c r="EH30" i="3"/>
  <c r="EG30" i="3"/>
  <c r="DV30" i="3"/>
  <c r="DI30" i="3"/>
  <c r="EN26" i="3"/>
  <c r="EJ26" i="3"/>
  <c r="EF26" i="3"/>
  <c r="EB26" i="3"/>
  <c r="DX26" i="3"/>
  <c r="DT26" i="3"/>
  <c r="DP26" i="3"/>
  <c r="EL26" i="3"/>
  <c r="EG26" i="3"/>
  <c r="EA26" i="3"/>
  <c r="DV26" i="3"/>
  <c r="DQ26" i="3"/>
  <c r="DG26" i="3"/>
  <c r="DK26" i="3"/>
  <c r="EK26" i="3"/>
  <c r="EE26" i="3"/>
  <c r="DZ26" i="3"/>
  <c r="DU26" i="3"/>
  <c r="DO26" i="3"/>
  <c r="EM26" i="3"/>
  <c r="EC26" i="3"/>
  <c r="DR26" i="3"/>
  <c r="DE26" i="3"/>
  <c r="DJ26" i="3"/>
  <c r="EI26" i="3"/>
  <c r="DW26" i="3"/>
  <c r="DL26" i="3"/>
  <c r="EH26" i="3"/>
  <c r="DS26" i="3"/>
  <c r="DF26" i="3"/>
  <c r="DM26" i="3"/>
  <c r="EO26" i="3"/>
  <c r="DH26" i="3"/>
  <c r="ED26" i="3"/>
  <c r="DI26" i="3"/>
  <c r="DY26" i="3"/>
  <c r="EN22" i="3"/>
  <c r="EJ22" i="3"/>
  <c r="EF22" i="3"/>
  <c r="EB22" i="3"/>
  <c r="DX22" i="3"/>
  <c r="DT22" i="3"/>
  <c r="DP22" i="3"/>
  <c r="EM22" i="3"/>
  <c r="EH22" i="3"/>
  <c r="EC22" i="3"/>
  <c r="DW22" i="3"/>
  <c r="DR22" i="3"/>
  <c r="DG22" i="3"/>
  <c r="DK22" i="3"/>
  <c r="EL22" i="3"/>
  <c r="EG22" i="3"/>
  <c r="EA22" i="3"/>
  <c r="DV22" i="3"/>
  <c r="DQ22" i="3"/>
  <c r="EO22" i="3"/>
  <c r="ED22" i="3"/>
  <c r="DS22" i="3"/>
  <c r="DI22" i="3"/>
  <c r="EE22" i="3"/>
  <c r="DO22" i="3"/>
  <c r="DE22" i="3"/>
  <c r="DL22" i="3"/>
  <c r="DZ22" i="3"/>
  <c r="DF22" i="3"/>
  <c r="DM22" i="3"/>
  <c r="EI22" i="3"/>
  <c r="DY22" i="3"/>
  <c r="DU22" i="3"/>
  <c r="DH22" i="3"/>
  <c r="EK22" i="3"/>
  <c r="DJ22" i="3"/>
  <c r="EN18" i="3"/>
  <c r="EJ18" i="3"/>
  <c r="EF18" i="3"/>
  <c r="EB18" i="3"/>
  <c r="DX18" i="3"/>
  <c r="DT18" i="3"/>
  <c r="DP18" i="3"/>
  <c r="EO18" i="3"/>
  <c r="EI18" i="3"/>
  <c r="ED18" i="3"/>
  <c r="DY18" i="3"/>
  <c r="DS18" i="3"/>
  <c r="DG18" i="3"/>
  <c r="DK18" i="3"/>
  <c r="EM18" i="3"/>
  <c r="EH18" i="3"/>
  <c r="EC18" i="3"/>
  <c r="DW18" i="3"/>
  <c r="DR18" i="3"/>
  <c r="EE18" i="3"/>
  <c r="DU18" i="3"/>
  <c r="DH18" i="3"/>
  <c r="DM18" i="3"/>
  <c r="EL18" i="3"/>
  <c r="DZ18" i="3"/>
  <c r="DE18" i="3"/>
  <c r="DL18" i="3"/>
  <c r="EK18" i="3"/>
  <c r="DV18" i="3"/>
  <c r="DF18" i="3"/>
  <c r="EA18" i="3"/>
  <c r="DI18" i="3"/>
  <c r="DQ18" i="3"/>
  <c r="DJ18" i="3"/>
  <c r="DO18" i="3"/>
  <c r="EG18" i="3"/>
  <c r="EM13" i="3"/>
  <c r="EI13" i="3"/>
  <c r="EE13" i="3"/>
  <c r="EA13" i="3"/>
  <c r="DW13" i="3"/>
  <c r="DS13" i="3"/>
  <c r="DO13" i="3"/>
  <c r="EO13" i="3"/>
  <c r="EJ13" i="3"/>
  <c r="ED13" i="3"/>
  <c r="DY13" i="3"/>
  <c r="DT13" i="3"/>
  <c r="DL13" i="3"/>
  <c r="EL13" i="3"/>
  <c r="EF13" i="3"/>
  <c r="DX13" i="3"/>
  <c r="DQ13" i="3"/>
  <c r="DG13" i="3"/>
  <c r="DM13" i="3"/>
  <c r="EG13" i="3"/>
  <c r="DV13" i="3"/>
  <c r="DF13" i="3"/>
  <c r="EN13" i="3"/>
  <c r="EC13" i="3"/>
  <c r="DU13" i="3"/>
  <c r="DI13" i="3"/>
  <c r="EH13" i="3"/>
  <c r="DP13" i="3"/>
  <c r="EB13" i="3"/>
  <c r="DE13" i="3"/>
  <c r="DZ13" i="3"/>
  <c r="DJ13" i="3"/>
  <c r="EK13" i="3"/>
  <c r="DK13" i="3"/>
  <c r="EM9" i="3"/>
  <c r="EK9" i="3"/>
  <c r="EG9" i="3"/>
  <c r="EC9" i="3"/>
  <c r="DY9" i="3"/>
  <c r="DU9" i="3"/>
  <c r="DQ9" i="3"/>
  <c r="DL9" i="3"/>
  <c r="EN9" i="3"/>
  <c r="EH9" i="3"/>
  <c r="EB9" i="3"/>
  <c r="DW9" i="3"/>
  <c r="DF9" i="3"/>
  <c r="DK9" i="3"/>
  <c r="EJ9" i="3"/>
  <c r="ED9" i="3"/>
  <c r="DV9" i="3"/>
  <c r="DO9" i="3"/>
  <c r="DG9" i="3"/>
  <c r="EI9" i="3"/>
  <c r="EA9" i="3"/>
  <c r="DT9" i="3"/>
  <c r="DI9" i="3"/>
  <c r="EE9" i="3"/>
  <c r="DP9" i="3"/>
  <c r="DJ9" i="3"/>
  <c r="EO9" i="3"/>
  <c r="DZ9" i="3"/>
  <c r="DM9" i="3"/>
  <c r="EL9" i="3"/>
  <c r="DX9" i="3"/>
  <c r="EF9" i="3"/>
  <c r="DS9" i="3"/>
  <c r="DE9" i="3"/>
  <c r="EL6" i="3"/>
  <c r="EH6" i="3"/>
  <c r="ED6" i="3"/>
  <c r="DZ6" i="3"/>
  <c r="DV6" i="3"/>
  <c r="DL6" i="3"/>
  <c r="DG6" i="3"/>
  <c r="EN6" i="3"/>
  <c r="EI6" i="3"/>
  <c r="EC6" i="3"/>
  <c r="DX6" i="3"/>
  <c r="DS6" i="3"/>
  <c r="EM6" i="3"/>
  <c r="EF6" i="3"/>
  <c r="DY6" i="3"/>
  <c r="DQ6" i="3"/>
  <c r="DJ6" i="3"/>
  <c r="EK6" i="3"/>
  <c r="EE6" i="3"/>
  <c r="DW6" i="3"/>
  <c r="DP6" i="3"/>
  <c r="EO6" i="3"/>
  <c r="EA6" i="3"/>
  <c r="DF6" i="3"/>
  <c r="EJ6" i="3"/>
  <c r="DU6" i="3"/>
  <c r="DM6" i="3"/>
  <c r="DE6" i="3"/>
  <c r="EG6" i="3"/>
  <c r="DT6" i="3"/>
  <c r="DK6" i="3"/>
  <c r="EB6" i="3"/>
  <c r="DO6" i="3"/>
  <c r="DI6" i="3"/>
  <c r="EN93" i="3"/>
  <c r="EJ93" i="3"/>
  <c r="EF93" i="3"/>
  <c r="EB93" i="3"/>
  <c r="DX93" i="3"/>
  <c r="DT93" i="3"/>
  <c r="DP93" i="3"/>
  <c r="EK93" i="3"/>
  <c r="EE93" i="3"/>
  <c r="DZ93" i="3"/>
  <c r="DU93" i="3"/>
  <c r="DO93" i="3"/>
  <c r="EL93" i="3"/>
  <c r="ED93" i="3"/>
  <c r="DW93" i="3"/>
  <c r="DQ93" i="3"/>
  <c r="DL93" i="3"/>
  <c r="EI93" i="3"/>
  <c r="EC93" i="3"/>
  <c r="DV93" i="3"/>
  <c r="EH93" i="3"/>
  <c r="DS93" i="3"/>
  <c r="EM93" i="3"/>
  <c r="EO93" i="3"/>
  <c r="EA93" i="3"/>
  <c r="DF93" i="3"/>
  <c r="DK93" i="3"/>
  <c r="DY93" i="3"/>
  <c r="DG93" i="3"/>
  <c r="DM93" i="3"/>
  <c r="DE93" i="3"/>
  <c r="EG93" i="3"/>
  <c r="DI93" i="3"/>
  <c r="DJ93" i="3"/>
  <c r="EN89" i="3"/>
  <c r="EJ89" i="3"/>
  <c r="EF89" i="3"/>
  <c r="EB89" i="3"/>
  <c r="DX89" i="3"/>
  <c r="DT89" i="3"/>
  <c r="DP89" i="3"/>
  <c r="EL89" i="3"/>
  <c r="EG89" i="3"/>
  <c r="EA89" i="3"/>
  <c r="DV89" i="3"/>
  <c r="DQ89" i="3"/>
  <c r="EM89" i="3"/>
  <c r="EE89" i="3"/>
  <c r="DY89" i="3"/>
  <c r="DL89" i="3"/>
  <c r="EK89" i="3"/>
  <c r="ED89" i="3"/>
  <c r="DW89" i="3"/>
  <c r="DO89" i="3"/>
  <c r="EC89" i="3"/>
  <c r="EH89" i="3"/>
  <c r="DU89" i="3"/>
  <c r="EI89" i="3"/>
  <c r="DE89" i="3"/>
  <c r="DJ89" i="3"/>
  <c r="DZ89" i="3"/>
  <c r="DF89" i="3"/>
  <c r="DK89" i="3"/>
  <c r="EO89" i="3"/>
  <c r="DG89" i="3"/>
  <c r="DS89" i="3"/>
  <c r="DI89" i="3"/>
  <c r="DM89" i="3"/>
  <c r="EN85" i="3"/>
  <c r="EJ85" i="3"/>
  <c r="EF85" i="3"/>
  <c r="EB85" i="3"/>
  <c r="DX85" i="3"/>
  <c r="DT85" i="3"/>
  <c r="DP85" i="3"/>
  <c r="EM85" i="3"/>
  <c r="EH85" i="3"/>
  <c r="EC85" i="3"/>
  <c r="DW85" i="3"/>
  <c r="EO85" i="3"/>
  <c r="EG85" i="3"/>
  <c r="DZ85" i="3"/>
  <c r="DS85" i="3"/>
  <c r="DL85" i="3"/>
  <c r="EL85" i="3"/>
  <c r="EE85" i="3"/>
  <c r="DY85" i="3"/>
  <c r="DQ85" i="3"/>
  <c r="EK85" i="3"/>
  <c r="DV85" i="3"/>
  <c r="EA85" i="3"/>
  <c r="ED85" i="3"/>
  <c r="DI85" i="3"/>
  <c r="EI85" i="3"/>
  <c r="DE85" i="3"/>
  <c r="DJ85" i="3"/>
  <c r="DO85" i="3"/>
  <c r="DK85" i="3"/>
  <c r="DM85" i="3"/>
  <c r="DF85" i="3"/>
  <c r="DU85" i="3"/>
  <c r="DG85" i="3"/>
  <c r="EN81" i="3"/>
  <c r="EJ81" i="3"/>
  <c r="EF81" i="3"/>
  <c r="EB81" i="3"/>
  <c r="DX81" i="3"/>
  <c r="DT81" i="3"/>
  <c r="DP81" i="3"/>
  <c r="EO81" i="3"/>
  <c r="EI81" i="3"/>
  <c r="ED81" i="3"/>
  <c r="DY81" i="3"/>
  <c r="DS81" i="3"/>
  <c r="EH81" i="3"/>
  <c r="EA81" i="3"/>
  <c r="DU81" i="3"/>
  <c r="DL81" i="3"/>
  <c r="EM81" i="3"/>
  <c r="EG81" i="3"/>
  <c r="DZ81" i="3"/>
  <c r="EE81" i="3"/>
  <c r="DQ81" i="3"/>
  <c r="EL81" i="3"/>
  <c r="DV81" i="3"/>
  <c r="EK81" i="3"/>
  <c r="DO81" i="3"/>
  <c r="DG81" i="3"/>
  <c r="DM81" i="3"/>
  <c r="DI81" i="3"/>
  <c r="DE81" i="3"/>
  <c r="EC81" i="3"/>
  <c r="DF81" i="3"/>
  <c r="DW81" i="3"/>
  <c r="DJ81" i="3"/>
  <c r="DK81" i="3"/>
  <c r="EN77" i="3"/>
  <c r="EJ77" i="3"/>
  <c r="EF77" i="3"/>
  <c r="EB77" i="3"/>
  <c r="DX77" i="3"/>
  <c r="DT77" i="3"/>
  <c r="DP77" i="3"/>
  <c r="EK77" i="3"/>
  <c r="EE77" i="3"/>
  <c r="DZ77" i="3"/>
  <c r="DU77" i="3"/>
  <c r="DO77" i="3"/>
  <c r="EI77" i="3"/>
  <c r="EC77" i="3"/>
  <c r="DV77" i="3"/>
  <c r="DL77" i="3"/>
  <c r="EO77" i="3"/>
  <c r="EH77" i="3"/>
  <c r="EA77" i="3"/>
  <c r="DS77" i="3"/>
  <c r="EL77" i="3"/>
  <c r="DW77" i="3"/>
  <c r="EM77" i="3"/>
  <c r="DE77" i="3"/>
  <c r="DJ77" i="3"/>
  <c r="DQ77" i="3"/>
  <c r="DG77" i="3"/>
  <c r="EG77" i="3"/>
  <c r="DI77" i="3"/>
  <c r="ED77" i="3"/>
  <c r="DF77" i="3"/>
  <c r="DY77" i="3"/>
  <c r="DK77" i="3"/>
  <c r="DM77" i="3"/>
  <c r="EM73" i="3"/>
  <c r="EI73" i="3"/>
  <c r="EE73" i="3"/>
  <c r="EA73" i="3"/>
  <c r="DW73" i="3"/>
  <c r="DS73" i="3"/>
  <c r="DO73" i="3"/>
  <c r="EL73" i="3"/>
  <c r="EG73" i="3"/>
  <c r="EB73" i="3"/>
  <c r="DV73" i="3"/>
  <c r="DQ73" i="3"/>
  <c r="DH73" i="3"/>
  <c r="DL73" i="3"/>
  <c r="EK73" i="3"/>
  <c r="EF73" i="3"/>
  <c r="DZ73" i="3"/>
  <c r="DU73" i="3"/>
  <c r="DP73" i="3"/>
  <c r="EH73" i="3"/>
  <c r="DX73" i="3"/>
  <c r="EJ73" i="3"/>
  <c r="DT73" i="3"/>
  <c r="DI73" i="3"/>
  <c r="EC73" i="3"/>
  <c r="DG73" i="3"/>
  <c r="EO73" i="3"/>
  <c r="DY73" i="3"/>
  <c r="DJ73" i="3"/>
  <c r="DK73" i="3"/>
  <c r="EN73" i="3"/>
  <c r="DM73" i="3"/>
  <c r="ED73" i="3"/>
  <c r="DE73" i="3"/>
  <c r="DR73" i="3"/>
  <c r="DF73" i="3"/>
  <c r="EM69" i="3"/>
  <c r="EI69" i="3"/>
  <c r="EE69" i="3"/>
  <c r="EA69" i="3"/>
  <c r="DW69" i="3"/>
  <c r="DS69" i="3"/>
  <c r="DO69" i="3"/>
  <c r="EN69" i="3"/>
  <c r="EH69" i="3"/>
  <c r="EC69" i="3"/>
  <c r="DX69" i="3"/>
  <c r="DR69" i="3"/>
  <c r="DH69" i="3"/>
  <c r="DL69" i="3"/>
  <c r="EL69" i="3"/>
  <c r="EG69" i="3"/>
  <c r="EB69" i="3"/>
  <c r="DV69" i="3"/>
  <c r="DQ69" i="3"/>
  <c r="EJ69" i="3"/>
  <c r="DY69" i="3"/>
  <c r="ED69" i="3"/>
  <c r="DP69" i="3"/>
  <c r="DG69" i="3"/>
  <c r="DM69" i="3"/>
  <c r="EO69" i="3"/>
  <c r="DU69" i="3"/>
  <c r="DI69" i="3"/>
  <c r="EK69" i="3"/>
  <c r="DT69" i="3"/>
  <c r="DJ69" i="3"/>
  <c r="DE69" i="3"/>
  <c r="EF69" i="3"/>
  <c r="DF69" i="3"/>
  <c r="DZ69" i="3"/>
  <c r="DK69" i="3"/>
  <c r="EM65" i="3"/>
  <c r="EI65" i="3"/>
  <c r="EE65" i="3"/>
  <c r="EA65" i="3"/>
  <c r="DW65" i="3"/>
  <c r="DS65" i="3"/>
  <c r="DO65" i="3"/>
  <c r="EO65" i="3"/>
  <c r="EJ65" i="3"/>
  <c r="ED65" i="3"/>
  <c r="DY65" i="3"/>
  <c r="DT65" i="3"/>
  <c r="DH65" i="3"/>
  <c r="DL65" i="3"/>
  <c r="EN65" i="3"/>
  <c r="EH65" i="3"/>
  <c r="EC65" i="3"/>
  <c r="DX65" i="3"/>
  <c r="DR65" i="3"/>
  <c r="EK65" i="3"/>
  <c r="DZ65" i="3"/>
  <c r="DP65" i="3"/>
  <c r="EL65" i="3"/>
  <c r="DV65" i="3"/>
  <c r="DF65" i="3"/>
  <c r="DK65" i="3"/>
  <c r="EG65" i="3"/>
  <c r="DQ65" i="3"/>
  <c r="DI65" i="3"/>
  <c r="EF65" i="3"/>
  <c r="DJ65" i="3"/>
  <c r="DM65" i="3"/>
  <c r="EB65" i="3"/>
  <c r="DU65" i="3"/>
  <c r="DE65" i="3"/>
  <c r="DG65" i="3"/>
  <c r="EM61" i="3"/>
  <c r="EI61" i="3"/>
  <c r="EE61" i="3"/>
  <c r="EA61" i="3"/>
  <c r="DW61" i="3"/>
  <c r="DS61" i="3"/>
  <c r="DO61" i="3"/>
  <c r="EK61" i="3"/>
  <c r="EF61" i="3"/>
  <c r="DZ61" i="3"/>
  <c r="DU61" i="3"/>
  <c r="DP61" i="3"/>
  <c r="DL61" i="3"/>
  <c r="EO61" i="3"/>
  <c r="EJ61" i="3"/>
  <c r="ED61" i="3"/>
  <c r="DY61" i="3"/>
  <c r="DT61" i="3"/>
  <c r="EL61" i="3"/>
  <c r="EB61" i="3"/>
  <c r="DQ61" i="3"/>
  <c r="EG61" i="3"/>
  <c r="DE61" i="3"/>
  <c r="DJ61" i="3"/>
  <c r="EC61" i="3"/>
  <c r="DI61" i="3"/>
  <c r="DX61" i="3"/>
  <c r="DK61" i="3"/>
  <c r="EH61" i="3"/>
  <c r="DF61" i="3"/>
  <c r="DV61" i="3"/>
  <c r="DG61" i="3"/>
  <c r="DM61" i="3"/>
  <c r="EN61" i="3"/>
  <c r="EM57" i="3"/>
  <c r="EI57" i="3"/>
  <c r="EE57" i="3"/>
  <c r="EA57" i="3"/>
  <c r="DW57" i="3"/>
  <c r="DS57" i="3"/>
  <c r="DO57" i="3"/>
  <c r="EL57" i="3"/>
  <c r="EG57" i="3"/>
  <c r="EB57" i="3"/>
  <c r="DV57" i="3"/>
  <c r="DQ57" i="3"/>
  <c r="DH57" i="3"/>
  <c r="DL57" i="3"/>
  <c r="EK57" i="3"/>
  <c r="EF57" i="3"/>
  <c r="DZ57" i="3"/>
  <c r="DU57" i="3"/>
  <c r="DP57" i="3"/>
  <c r="EN57" i="3"/>
  <c r="EC57" i="3"/>
  <c r="DR57" i="3"/>
  <c r="EO57" i="3"/>
  <c r="DY57" i="3"/>
  <c r="DI57" i="3"/>
  <c r="DX57" i="3"/>
  <c r="DJ57" i="3"/>
  <c r="EJ57" i="3"/>
  <c r="DT57" i="3"/>
  <c r="DE57" i="3"/>
  <c r="DK57" i="3"/>
  <c r="ED57" i="3"/>
  <c r="DM57" i="3"/>
  <c r="DF57" i="3"/>
  <c r="EH57" i="3"/>
  <c r="DG57" i="3"/>
  <c r="EM53" i="3"/>
  <c r="EI53" i="3"/>
  <c r="EE53" i="3"/>
  <c r="EA53" i="3"/>
  <c r="DW53" i="3"/>
  <c r="DS53" i="3"/>
  <c r="DO53" i="3"/>
  <c r="EN53" i="3"/>
  <c r="EH53" i="3"/>
  <c r="EC53" i="3"/>
  <c r="DX53" i="3"/>
  <c r="DL53" i="3"/>
  <c r="EL53" i="3"/>
  <c r="EG53" i="3"/>
  <c r="EB53" i="3"/>
  <c r="DV53" i="3"/>
  <c r="DQ53" i="3"/>
  <c r="EO53" i="3"/>
  <c r="ED53" i="3"/>
  <c r="DT53" i="3"/>
  <c r="EJ53" i="3"/>
  <c r="DU53" i="3"/>
  <c r="DG53" i="3"/>
  <c r="DM53" i="3"/>
  <c r="EK53" i="3"/>
  <c r="DP53" i="3"/>
  <c r="DJ53" i="3"/>
  <c r="EF53" i="3"/>
  <c r="DE53" i="3"/>
  <c r="DK53" i="3"/>
  <c r="DY53" i="3"/>
  <c r="DF53" i="3"/>
  <c r="DI53" i="3"/>
  <c r="DZ53" i="3"/>
  <c r="EM49" i="3"/>
  <c r="EI49" i="3"/>
  <c r="EE49" i="3"/>
  <c r="EA49" i="3"/>
  <c r="DW49" i="3"/>
  <c r="DS49" i="3"/>
  <c r="DO49" i="3"/>
  <c r="EO49" i="3"/>
  <c r="EJ49" i="3"/>
  <c r="ED49" i="3"/>
  <c r="DY49" i="3"/>
  <c r="DT49" i="3"/>
  <c r="DL49" i="3"/>
  <c r="EN49" i="3"/>
  <c r="EH49" i="3"/>
  <c r="EC49" i="3"/>
  <c r="DX49" i="3"/>
  <c r="EF49" i="3"/>
  <c r="DU49" i="3"/>
  <c r="EB49" i="3"/>
  <c r="DP49" i="3"/>
  <c r="DF49" i="3"/>
  <c r="DK49" i="3"/>
  <c r="EG49" i="3"/>
  <c r="DJ49" i="3"/>
  <c r="DZ49" i="3"/>
  <c r="DE49" i="3"/>
  <c r="DM49" i="3"/>
  <c r="DQ49" i="3"/>
  <c r="EL49" i="3"/>
  <c r="EK49" i="3"/>
  <c r="DG49" i="3"/>
  <c r="DV49" i="3"/>
  <c r="DI49" i="3"/>
  <c r="EM45" i="3"/>
  <c r="EI45" i="3"/>
  <c r="EE45" i="3"/>
  <c r="EA45" i="3"/>
  <c r="DW45" i="3"/>
  <c r="DS45" i="3"/>
  <c r="DO45" i="3"/>
  <c r="EK45" i="3"/>
  <c r="EF45" i="3"/>
  <c r="DZ45" i="3"/>
  <c r="DU45" i="3"/>
  <c r="DP45" i="3"/>
  <c r="DL45" i="3"/>
  <c r="EO45" i="3"/>
  <c r="EJ45" i="3"/>
  <c r="ED45" i="3"/>
  <c r="DY45" i="3"/>
  <c r="DT45" i="3"/>
  <c r="EG45" i="3"/>
  <c r="DV45" i="3"/>
  <c r="EL45" i="3"/>
  <c r="DX45" i="3"/>
  <c r="DE45" i="3"/>
  <c r="DJ45" i="3"/>
  <c r="EB45" i="3"/>
  <c r="DK45" i="3"/>
  <c r="EN45" i="3"/>
  <c r="DF45" i="3"/>
  <c r="DM45" i="3"/>
  <c r="DG45" i="3"/>
  <c r="EH45" i="3"/>
  <c r="DI45" i="3"/>
  <c r="EC45" i="3"/>
  <c r="DQ45" i="3"/>
  <c r="EM41" i="3"/>
  <c r="EI41" i="3"/>
  <c r="EE41" i="3"/>
  <c r="EA41" i="3"/>
  <c r="DW41" i="3"/>
  <c r="DS41" i="3"/>
  <c r="DO41" i="3"/>
  <c r="EL41" i="3"/>
  <c r="EG41" i="3"/>
  <c r="EB41" i="3"/>
  <c r="DV41" i="3"/>
  <c r="DQ41" i="3"/>
  <c r="DH41" i="3"/>
  <c r="DL41" i="3"/>
  <c r="EK41" i="3"/>
  <c r="EF41" i="3"/>
  <c r="DZ41" i="3"/>
  <c r="DU41" i="3"/>
  <c r="DP41" i="3"/>
  <c r="EH41" i="3"/>
  <c r="DX41" i="3"/>
  <c r="ED41" i="3"/>
  <c r="DR41" i="3"/>
  <c r="DI41" i="3"/>
  <c r="EN41" i="3"/>
  <c r="DT41" i="3"/>
  <c r="DE41" i="3"/>
  <c r="DK41" i="3"/>
  <c r="EJ41" i="3"/>
  <c r="DF41" i="3"/>
  <c r="DM41" i="3"/>
  <c r="EO41" i="3"/>
  <c r="EC41" i="3"/>
  <c r="DY41" i="3"/>
  <c r="DG41" i="3"/>
  <c r="DJ41" i="3"/>
  <c r="EM37" i="3"/>
  <c r="EI37" i="3"/>
  <c r="EE37" i="3"/>
  <c r="EA37" i="3"/>
  <c r="DW37" i="3"/>
  <c r="DS37" i="3"/>
  <c r="DO37" i="3"/>
  <c r="EN37" i="3"/>
  <c r="EH37" i="3"/>
  <c r="EC37" i="3"/>
  <c r="DX37" i="3"/>
  <c r="DR37" i="3"/>
  <c r="DH37" i="3"/>
  <c r="DL37" i="3"/>
  <c r="EL37" i="3"/>
  <c r="EG37" i="3"/>
  <c r="EB37" i="3"/>
  <c r="DV37" i="3"/>
  <c r="DQ37" i="3"/>
  <c r="EJ37" i="3"/>
  <c r="DY37" i="3"/>
  <c r="EO37" i="3"/>
  <c r="DZ37" i="3"/>
  <c r="DG37" i="3"/>
  <c r="DM37" i="3"/>
  <c r="EF37" i="3"/>
  <c r="DP37" i="3"/>
  <c r="DE37" i="3"/>
  <c r="DK37" i="3"/>
  <c r="ED37" i="3"/>
  <c r="DF37" i="3"/>
  <c r="EK37" i="3"/>
  <c r="DI37" i="3"/>
  <c r="DU37" i="3"/>
  <c r="DJ37" i="3"/>
  <c r="DT37" i="3"/>
  <c r="EM33" i="3"/>
  <c r="EI33" i="3"/>
  <c r="EE33" i="3"/>
  <c r="EA33" i="3"/>
  <c r="DW33" i="3"/>
  <c r="DS33" i="3"/>
  <c r="DO33" i="3"/>
  <c r="EO33" i="3"/>
  <c r="EJ33" i="3"/>
  <c r="ED33" i="3"/>
  <c r="DY33" i="3"/>
  <c r="DT33" i="3"/>
  <c r="DL33" i="3"/>
  <c r="EN33" i="3"/>
  <c r="EH33" i="3"/>
  <c r="EC33" i="3"/>
  <c r="DX33" i="3"/>
  <c r="EF33" i="3"/>
  <c r="DU33" i="3"/>
  <c r="DF33" i="3"/>
  <c r="DK33" i="3"/>
  <c r="EG33" i="3"/>
  <c r="DQ33" i="3"/>
  <c r="DE33" i="3"/>
  <c r="DM33" i="3"/>
  <c r="EB33" i="3"/>
  <c r="DP33" i="3"/>
  <c r="DG33" i="3"/>
  <c r="DV33" i="3"/>
  <c r="EL33" i="3"/>
  <c r="EK33" i="3"/>
  <c r="DI33" i="3"/>
  <c r="DZ33" i="3"/>
  <c r="DJ33" i="3"/>
  <c r="EM29" i="3"/>
  <c r="EI29" i="3"/>
  <c r="EE29" i="3"/>
  <c r="EA29" i="3"/>
  <c r="DW29" i="3"/>
  <c r="DS29" i="3"/>
  <c r="DO29" i="3"/>
  <c r="EK29" i="3"/>
  <c r="EF29" i="3"/>
  <c r="DZ29" i="3"/>
  <c r="DU29" i="3"/>
  <c r="DP29" i="3"/>
  <c r="DH29" i="3"/>
  <c r="DL29" i="3"/>
  <c r="EO29" i="3"/>
  <c r="EJ29" i="3"/>
  <c r="ED29" i="3"/>
  <c r="DY29" i="3"/>
  <c r="DT29" i="3"/>
  <c r="EG29" i="3"/>
  <c r="DV29" i="3"/>
  <c r="DE29" i="3"/>
  <c r="DJ29" i="3"/>
  <c r="EN29" i="3"/>
  <c r="EB29" i="3"/>
  <c r="DF29" i="3"/>
  <c r="DM29" i="3"/>
  <c r="EL29" i="3"/>
  <c r="DX29" i="3"/>
  <c r="DG29" i="3"/>
  <c r="DQ29" i="3"/>
  <c r="DI29" i="3"/>
  <c r="EH29" i="3"/>
  <c r="DK29" i="3"/>
  <c r="EC29" i="3"/>
  <c r="DR29" i="3"/>
  <c r="EM25" i="3"/>
  <c r="EI25" i="3"/>
  <c r="EE25" i="3"/>
  <c r="EA25" i="3"/>
  <c r="DW25" i="3"/>
  <c r="DS25" i="3"/>
  <c r="DO25" i="3"/>
  <c r="EL25" i="3"/>
  <c r="EG25" i="3"/>
  <c r="EB25" i="3"/>
  <c r="DV25" i="3"/>
  <c r="DQ25" i="3"/>
  <c r="DH25" i="3"/>
  <c r="DL25" i="3"/>
  <c r="EK25" i="3"/>
  <c r="EF25" i="3"/>
  <c r="DZ25" i="3"/>
  <c r="DU25" i="3"/>
  <c r="DP25" i="3"/>
  <c r="EH25" i="3"/>
  <c r="DX25" i="3"/>
  <c r="DI25" i="3"/>
  <c r="EJ25" i="3"/>
  <c r="DT25" i="3"/>
  <c r="DF25" i="3"/>
  <c r="DM25" i="3"/>
  <c r="ED25" i="3"/>
  <c r="DR25" i="3"/>
  <c r="DG25" i="3"/>
  <c r="EN25" i="3"/>
  <c r="EC25" i="3"/>
  <c r="DE25" i="3"/>
  <c r="DY25" i="3"/>
  <c r="DJ25" i="3"/>
  <c r="EO25" i="3"/>
  <c r="DK25" i="3"/>
  <c r="EM21" i="3"/>
  <c r="EI21" i="3"/>
  <c r="EE21" i="3"/>
  <c r="EA21" i="3"/>
  <c r="DW21" i="3"/>
  <c r="DS21" i="3"/>
  <c r="DO21" i="3"/>
  <c r="EN21" i="3"/>
  <c r="EH21" i="3"/>
  <c r="EC21" i="3"/>
  <c r="DX21" i="3"/>
  <c r="DR21" i="3"/>
  <c r="DH21" i="3"/>
  <c r="DL21" i="3"/>
  <c r="EL21" i="3"/>
  <c r="EG21" i="3"/>
  <c r="EB21" i="3"/>
  <c r="DV21" i="3"/>
  <c r="DQ21" i="3"/>
  <c r="EJ21" i="3"/>
  <c r="DY21" i="3"/>
  <c r="DG21" i="3"/>
  <c r="DM21" i="3"/>
  <c r="ED21" i="3"/>
  <c r="DP21" i="3"/>
  <c r="DF21" i="3"/>
  <c r="EO21" i="3"/>
  <c r="DZ21" i="3"/>
  <c r="DI21" i="3"/>
  <c r="EF21" i="3"/>
  <c r="DJ21" i="3"/>
  <c r="DU21" i="3"/>
  <c r="DK21" i="3"/>
  <c r="DT21" i="3"/>
  <c r="EK21" i="3"/>
  <c r="DE21" i="3"/>
  <c r="EL16" i="3"/>
  <c r="EH16" i="3"/>
  <c r="ED16" i="3"/>
  <c r="DZ16" i="3"/>
  <c r="DV16" i="3"/>
  <c r="EN16" i="3"/>
  <c r="EI16" i="3"/>
  <c r="EC16" i="3"/>
  <c r="DX16" i="3"/>
  <c r="DS16" i="3"/>
  <c r="DE16" i="3"/>
  <c r="DI16" i="3"/>
  <c r="DM16" i="3"/>
  <c r="EM16" i="3"/>
  <c r="EJ16" i="3"/>
  <c r="EB16" i="3"/>
  <c r="DU16" i="3"/>
  <c r="DO16" i="3"/>
  <c r="DG16" i="3"/>
  <c r="DL16" i="3"/>
  <c r="EK16" i="3"/>
  <c r="EA16" i="3"/>
  <c r="DQ16" i="3"/>
  <c r="DH16" i="3"/>
  <c r="EG16" i="3"/>
  <c r="DY16" i="3"/>
  <c r="DP16" i="3"/>
  <c r="DJ16" i="3"/>
  <c r="EE16" i="3"/>
  <c r="DW16" i="3"/>
  <c r="DF16" i="3"/>
  <c r="EO16" i="3"/>
  <c r="DT16" i="3"/>
  <c r="DK16" i="3"/>
  <c r="EF16" i="3"/>
  <c r="EL12" i="3"/>
  <c r="EH12" i="3"/>
  <c r="ED12" i="3"/>
  <c r="DZ12" i="3"/>
  <c r="DV12" i="3"/>
  <c r="EO12" i="3"/>
  <c r="EJ12" i="3"/>
  <c r="EE12" i="3"/>
  <c r="DY12" i="3"/>
  <c r="DT12" i="3"/>
  <c r="DO12" i="3"/>
  <c r="DE12" i="3"/>
  <c r="DI12" i="3"/>
  <c r="DM12" i="3"/>
  <c r="EK12" i="3"/>
  <c r="EC12" i="3"/>
  <c r="DW12" i="3"/>
  <c r="DP12" i="3"/>
  <c r="DF12" i="3"/>
  <c r="DK12" i="3"/>
  <c r="EN12" i="3"/>
  <c r="EF12" i="3"/>
  <c r="DU12" i="3"/>
  <c r="EM12" i="3"/>
  <c r="EB12" i="3"/>
  <c r="DS12" i="3"/>
  <c r="DJ12" i="3"/>
  <c r="DX12" i="3"/>
  <c r="DL12" i="3"/>
  <c r="EI12" i="3"/>
  <c r="DQ12" i="3"/>
  <c r="EG12" i="3"/>
  <c r="EA12" i="3"/>
  <c r="DG12" i="3"/>
  <c r="EN8" i="3"/>
  <c r="EJ8" i="3"/>
  <c r="EF8" i="3"/>
  <c r="EB8" i="3"/>
  <c r="DX8" i="3"/>
  <c r="DT8" i="3"/>
  <c r="DP8" i="3"/>
  <c r="DE8" i="3"/>
  <c r="DI8" i="3"/>
  <c r="DM8" i="3"/>
  <c r="EM8" i="3"/>
  <c r="EH8" i="3"/>
  <c r="EC8" i="3"/>
  <c r="DW8" i="3"/>
  <c r="DJ8" i="3"/>
  <c r="EI8" i="3"/>
  <c r="EA8" i="3"/>
  <c r="DU8" i="3"/>
  <c r="EO8" i="3"/>
  <c r="EG8" i="3"/>
  <c r="DZ8" i="3"/>
  <c r="DS8" i="3"/>
  <c r="DK8" i="3"/>
  <c r="ED8" i="3"/>
  <c r="DO8" i="3"/>
  <c r="DF8" i="3"/>
  <c r="EL8" i="3"/>
  <c r="DY8" i="3"/>
  <c r="DG8" i="3"/>
  <c r="EK8" i="3"/>
  <c r="DV8" i="3"/>
  <c r="DL8" i="3"/>
  <c r="EE8" i="3"/>
  <c r="DQ8" i="3"/>
  <c r="EM92" i="3"/>
  <c r="EI92" i="3"/>
  <c r="EE92" i="3"/>
  <c r="EA92" i="3"/>
  <c r="DW92" i="3"/>
  <c r="DS92" i="3"/>
  <c r="DO92" i="3"/>
  <c r="EK92" i="3"/>
  <c r="EF92" i="3"/>
  <c r="DZ92" i="3"/>
  <c r="DU92" i="3"/>
  <c r="DP92" i="3"/>
  <c r="EJ92" i="3"/>
  <c r="EC92" i="3"/>
  <c r="DV92" i="3"/>
  <c r="DE92" i="3"/>
  <c r="DI92" i="3"/>
  <c r="DM92" i="3"/>
  <c r="EO92" i="3"/>
  <c r="EH92" i="3"/>
  <c r="EB92" i="3"/>
  <c r="DT92" i="3"/>
  <c r="EG92" i="3"/>
  <c r="DY92" i="3"/>
  <c r="EN92" i="3"/>
  <c r="DQ92" i="3"/>
  <c r="DX92" i="3"/>
  <c r="DJ92" i="3"/>
  <c r="DF92" i="3"/>
  <c r="DK92" i="3"/>
  <c r="ED92" i="3"/>
  <c r="DL92" i="3"/>
  <c r="DG92" i="3"/>
  <c r="EL92" i="3"/>
  <c r="EM88" i="3"/>
  <c r="EI88" i="3"/>
  <c r="EE88" i="3"/>
  <c r="EA88" i="3"/>
  <c r="DW88" i="3"/>
  <c r="DS88" i="3"/>
  <c r="DO88" i="3"/>
  <c r="EL88" i="3"/>
  <c r="EG88" i="3"/>
  <c r="EB88" i="3"/>
  <c r="DV88" i="3"/>
  <c r="DQ88" i="3"/>
  <c r="EK88" i="3"/>
  <c r="ED88" i="3"/>
  <c r="DX88" i="3"/>
  <c r="DP88" i="3"/>
  <c r="DE88" i="3"/>
  <c r="DI88" i="3"/>
  <c r="DM88" i="3"/>
  <c r="EJ88" i="3"/>
  <c r="EC88" i="3"/>
  <c r="DU88" i="3"/>
  <c r="EO88" i="3"/>
  <c r="DZ88" i="3"/>
  <c r="EN88" i="3"/>
  <c r="DT88" i="3"/>
  <c r="DY88" i="3"/>
  <c r="EF88" i="3"/>
  <c r="DJ88" i="3"/>
  <c r="DF88" i="3"/>
  <c r="DG88" i="3"/>
  <c r="EH88" i="3"/>
  <c r="DK88" i="3"/>
  <c r="DL88" i="3"/>
  <c r="EM84" i="3"/>
  <c r="EI84" i="3"/>
  <c r="EE84" i="3"/>
  <c r="EA84" i="3"/>
  <c r="DW84" i="3"/>
  <c r="DS84" i="3"/>
  <c r="DO84" i="3"/>
  <c r="EN84" i="3"/>
  <c r="EH84" i="3"/>
  <c r="EC84" i="3"/>
  <c r="DX84" i="3"/>
  <c r="EL84" i="3"/>
  <c r="EF84" i="3"/>
  <c r="DY84" i="3"/>
  <c r="DQ84" i="3"/>
  <c r="DE84" i="3"/>
  <c r="DI84" i="3"/>
  <c r="DM84" i="3"/>
  <c r="EK84" i="3"/>
  <c r="ED84" i="3"/>
  <c r="DV84" i="3"/>
  <c r="DP84" i="3"/>
  <c r="EJ84" i="3"/>
  <c r="DU84" i="3"/>
  <c r="EG84" i="3"/>
  <c r="EB84" i="3"/>
  <c r="EO84" i="3"/>
  <c r="DG84" i="3"/>
  <c r="DL84" i="3"/>
  <c r="DZ84" i="3"/>
  <c r="DJ84" i="3"/>
  <c r="DT84" i="3"/>
  <c r="DK84" i="3"/>
  <c r="DF84" i="3"/>
  <c r="EM80" i="3"/>
  <c r="EI80" i="3"/>
  <c r="EE80" i="3"/>
  <c r="EA80" i="3"/>
  <c r="DW80" i="3"/>
  <c r="DS80" i="3"/>
  <c r="DO80" i="3"/>
  <c r="EO80" i="3"/>
  <c r="EJ80" i="3"/>
  <c r="ED80" i="3"/>
  <c r="DY80" i="3"/>
  <c r="DT80" i="3"/>
  <c r="EN80" i="3"/>
  <c r="EG80" i="3"/>
  <c r="DZ80" i="3"/>
  <c r="DE80" i="3"/>
  <c r="DI80" i="3"/>
  <c r="DM80" i="3"/>
  <c r="EL80" i="3"/>
  <c r="EF80" i="3"/>
  <c r="DX80" i="3"/>
  <c r="DQ80" i="3"/>
  <c r="EC80" i="3"/>
  <c r="EB80" i="3"/>
  <c r="EK80" i="3"/>
  <c r="DP80" i="3"/>
  <c r="DF80" i="3"/>
  <c r="DK80" i="3"/>
  <c r="EH80" i="3"/>
  <c r="DG80" i="3"/>
  <c r="DL80" i="3"/>
  <c r="DU80" i="3"/>
  <c r="DV80" i="3"/>
  <c r="DJ80" i="3"/>
  <c r="EM76" i="3"/>
  <c r="EI76" i="3"/>
  <c r="EE76" i="3"/>
  <c r="EA76" i="3"/>
  <c r="DW76" i="3"/>
  <c r="DS76" i="3"/>
  <c r="DO76" i="3"/>
  <c r="EK76" i="3"/>
  <c r="EF76" i="3"/>
  <c r="DZ76" i="3"/>
  <c r="DU76" i="3"/>
  <c r="DP76" i="3"/>
  <c r="EO76" i="3"/>
  <c r="EH76" i="3"/>
  <c r="EB76" i="3"/>
  <c r="DT76" i="3"/>
  <c r="DE76" i="3"/>
  <c r="DI76" i="3"/>
  <c r="DM76" i="3"/>
  <c r="EN76" i="3"/>
  <c r="EG76" i="3"/>
  <c r="DY76" i="3"/>
  <c r="EJ76" i="3"/>
  <c r="DV76" i="3"/>
  <c r="EC76" i="3"/>
  <c r="DQ76" i="3"/>
  <c r="DJ76" i="3"/>
  <c r="EL76" i="3"/>
  <c r="DK76" i="3"/>
  <c r="DX76" i="3"/>
  <c r="DL76" i="3"/>
  <c r="DF76" i="3"/>
  <c r="ED76" i="3"/>
  <c r="DG76" i="3"/>
  <c r="EL72" i="3"/>
  <c r="EH72" i="3"/>
  <c r="ED72" i="3"/>
  <c r="DZ72" i="3"/>
  <c r="DV72" i="3"/>
  <c r="DR72" i="3"/>
  <c r="EM72" i="3"/>
  <c r="EG72" i="3"/>
  <c r="EB72" i="3"/>
  <c r="DW72" i="3"/>
  <c r="DQ72" i="3"/>
  <c r="DE72" i="3"/>
  <c r="DI72" i="3"/>
  <c r="DM72" i="3"/>
  <c r="EK72" i="3"/>
  <c r="EF72" i="3"/>
  <c r="EA72" i="3"/>
  <c r="DU72" i="3"/>
  <c r="DP72" i="3"/>
  <c r="EN72" i="3"/>
  <c r="EC72" i="3"/>
  <c r="DS72" i="3"/>
  <c r="EI72" i="3"/>
  <c r="DT72" i="3"/>
  <c r="DG72" i="3"/>
  <c r="DL72" i="3"/>
  <c r="EJ72" i="3"/>
  <c r="DO72" i="3"/>
  <c r="DJ72" i="3"/>
  <c r="EE72" i="3"/>
  <c r="DK72" i="3"/>
  <c r="EO72" i="3"/>
  <c r="DF72" i="3"/>
  <c r="DY72" i="3"/>
  <c r="DH72" i="3"/>
  <c r="DX72" i="3"/>
  <c r="EL68" i="3"/>
  <c r="EH68" i="3"/>
  <c r="ED68" i="3"/>
  <c r="DZ68" i="3"/>
  <c r="DV68" i="3"/>
  <c r="DR68" i="3"/>
  <c r="EN68" i="3"/>
  <c r="EI68" i="3"/>
  <c r="EC68" i="3"/>
  <c r="DX68" i="3"/>
  <c r="DS68" i="3"/>
  <c r="DE68" i="3"/>
  <c r="DI68" i="3"/>
  <c r="DM68" i="3"/>
  <c r="EM68" i="3"/>
  <c r="EG68" i="3"/>
  <c r="EB68" i="3"/>
  <c r="DW68" i="3"/>
  <c r="DQ68" i="3"/>
  <c r="EO68" i="3"/>
  <c r="EE68" i="3"/>
  <c r="DT68" i="3"/>
  <c r="EA68" i="3"/>
  <c r="DO68" i="3"/>
  <c r="DF68" i="3"/>
  <c r="DK68" i="3"/>
  <c r="EF68" i="3"/>
  <c r="DJ68" i="3"/>
  <c r="DY68" i="3"/>
  <c r="DL68" i="3"/>
  <c r="EJ68" i="3"/>
  <c r="DU68" i="3"/>
  <c r="DP68" i="3"/>
  <c r="DG68" i="3"/>
  <c r="EK68" i="3"/>
  <c r="DH68" i="3"/>
  <c r="EL64" i="3"/>
  <c r="EH64" i="3"/>
  <c r="ED64" i="3"/>
  <c r="DZ64" i="3"/>
  <c r="DV64" i="3"/>
  <c r="EO64" i="3"/>
  <c r="EJ64" i="3"/>
  <c r="EE64" i="3"/>
  <c r="DY64" i="3"/>
  <c r="DT64" i="3"/>
  <c r="DO64" i="3"/>
  <c r="DE64" i="3"/>
  <c r="DI64" i="3"/>
  <c r="DM64" i="3"/>
  <c r="EN64" i="3"/>
  <c r="EI64" i="3"/>
  <c r="EC64" i="3"/>
  <c r="DX64" i="3"/>
  <c r="DS64" i="3"/>
  <c r="EF64" i="3"/>
  <c r="DU64" i="3"/>
  <c r="EK64" i="3"/>
  <c r="DW64" i="3"/>
  <c r="DJ64" i="3"/>
  <c r="EA64" i="3"/>
  <c r="DK64" i="3"/>
  <c r="EM64" i="3"/>
  <c r="DQ64" i="3"/>
  <c r="DF64" i="3"/>
  <c r="DL64" i="3"/>
  <c r="EB64" i="3"/>
  <c r="DG64" i="3"/>
  <c r="DP64" i="3"/>
  <c r="EG64" i="3"/>
  <c r="EL60" i="3"/>
  <c r="EH60" i="3"/>
  <c r="ED60" i="3"/>
  <c r="DZ60" i="3"/>
  <c r="DV60" i="3"/>
  <c r="EK60" i="3"/>
  <c r="EF60" i="3"/>
  <c r="EA60" i="3"/>
  <c r="DU60" i="3"/>
  <c r="DP60" i="3"/>
  <c r="DE60" i="3"/>
  <c r="DI60" i="3"/>
  <c r="DM60" i="3"/>
  <c r="EO60" i="3"/>
  <c r="EJ60" i="3"/>
  <c r="EE60" i="3"/>
  <c r="DY60" i="3"/>
  <c r="DT60" i="3"/>
  <c r="DO60" i="3"/>
  <c r="EG60" i="3"/>
  <c r="DW60" i="3"/>
  <c r="EC60" i="3"/>
  <c r="DQ60" i="3"/>
  <c r="EM60" i="3"/>
  <c r="DS60" i="3"/>
  <c r="DK60" i="3"/>
  <c r="EI60" i="3"/>
  <c r="DF60" i="3"/>
  <c r="DL60" i="3"/>
  <c r="DX60" i="3"/>
  <c r="EN60" i="3"/>
  <c r="DG60" i="3"/>
  <c r="EB60" i="3"/>
  <c r="DJ60" i="3"/>
  <c r="EL56" i="3"/>
  <c r="EH56" i="3"/>
  <c r="ED56" i="3"/>
  <c r="DZ56" i="3"/>
  <c r="DV56" i="3"/>
  <c r="EM56" i="3"/>
  <c r="EG56" i="3"/>
  <c r="EB56" i="3"/>
  <c r="DW56" i="3"/>
  <c r="DQ56" i="3"/>
  <c r="DE56" i="3"/>
  <c r="DI56" i="3"/>
  <c r="DM56" i="3"/>
  <c r="EK56" i="3"/>
  <c r="EF56" i="3"/>
  <c r="EA56" i="3"/>
  <c r="DU56" i="3"/>
  <c r="DP56" i="3"/>
  <c r="EI56" i="3"/>
  <c r="DX56" i="3"/>
  <c r="EN56" i="3"/>
  <c r="DY56" i="3"/>
  <c r="DG56" i="3"/>
  <c r="DL56" i="3"/>
  <c r="EE56" i="3"/>
  <c r="DO56" i="3"/>
  <c r="DK56" i="3"/>
  <c r="EC56" i="3"/>
  <c r="DF56" i="3"/>
  <c r="DS56" i="3"/>
  <c r="EO56" i="3"/>
  <c r="DJ56" i="3"/>
  <c r="EJ56" i="3"/>
  <c r="DT56" i="3"/>
  <c r="EL52" i="3"/>
  <c r="EH52" i="3"/>
  <c r="ED52" i="3"/>
  <c r="DZ52" i="3"/>
  <c r="DV52" i="3"/>
  <c r="EN52" i="3"/>
  <c r="EI52" i="3"/>
  <c r="EC52" i="3"/>
  <c r="DX52" i="3"/>
  <c r="DS52" i="3"/>
  <c r="DE52" i="3"/>
  <c r="DI52" i="3"/>
  <c r="DM52" i="3"/>
  <c r="EM52" i="3"/>
  <c r="EG52" i="3"/>
  <c r="EB52" i="3"/>
  <c r="DW52" i="3"/>
  <c r="DQ52" i="3"/>
  <c r="EJ52" i="3"/>
  <c r="DY52" i="3"/>
  <c r="DO52" i="3"/>
  <c r="EF52" i="3"/>
  <c r="DT52" i="3"/>
  <c r="DF52" i="3"/>
  <c r="DK52" i="3"/>
  <c r="EA52" i="3"/>
  <c r="DL52" i="3"/>
  <c r="EO52" i="3"/>
  <c r="DU52" i="3"/>
  <c r="DG52" i="3"/>
  <c r="EK52" i="3"/>
  <c r="EE52" i="3"/>
  <c r="DP52" i="3"/>
  <c r="DJ52" i="3"/>
  <c r="EL48" i="3"/>
  <c r="EH48" i="3"/>
  <c r="ED48" i="3"/>
  <c r="DZ48" i="3"/>
  <c r="DV48" i="3"/>
  <c r="EO48" i="3"/>
  <c r="EJ48" i="3"/>
  <c r="EE48" i="3"/>
  <c r="DY48" i="3"/>
  <c r="DT48" i="3"/>
  <c r="DO48" i="3"/>
  <c r="DE48" i="3"/>
  <c r="DI48" i="3"/>
  <c r="DM48" i="3"/>
  <c r="EN48" i="3"/>
  <c r="EI48" i="3"/>
  <c r="EC48" i="3"/>
  <c r="DX48" i="3"/>
  <c r="DS48" i="3"/>
  <c r="EK48" i="3"/>
  <c r="EA48" i="3"/>
  <c r="DP48" i="3"/>
  <c r="EB48" i="3"/>
  <c r="DJ48" i="3"/>
  <c r="EM48" i="3"/>
  <c r="DU48" i="3"/>
  <c r="DF48" i="3"/>
  <c r="DL48" i="3"/>
  <c r="EG48" i="3"/>
  <c r="DQ48" i="3"/>
  <c r="DG48" i="3"/>
  <c r="EF48" i="3"/>
  <c r="DK48" i="3"/>
  <c r="DW48" i="3"/>
  <c r="EL44" i="3"/>
  <c r="EH44" i="3"/>
  <c r="ED44" i="3"/>
  <c r="DZ44" i="3"/>
  <c r="DV44" i="3"/>
  <c r="EK44" i="3"/>
  <c r="EF44" i="3"/>
  <c r="EA44" i="3"/>
  <c r="DU44" i="3"/>
  <c r="DP44" i="3"/>
  <c r="DE44" i="3"/>
  <c r="DI44" i="3"/>
  <c r="DM44" i="3"/>
  <c r="EO44" i="3"/>
  <c r="EJ44" i="3"/>
  <c r="EE44" i="3"/>
  <c r="DY44" i="3"/>
  <c r="DT44" i="3"/>
  <c r="DO44" i="3"/>
  <c r="EM44" i="3"/>
  <c r="EB44" i="3"/>
  <c r="DQ44" i="3"/>
  <c r="EI44" i="3"/>
  <c r="DW44" i="3"/>
  <c r="EG44" i="3"/>
  <c r="DF44" i="3"/>
  <c r="DL44" i="3"/>
  <c r="EC44" i="3"/>
  <c r="DG44" i="3"/>
  <c r="EN44" i="3"/>
  <c r="DX44" i="3"/>
  <c r="DS44" i="3"/>
  <c r="DJ44" i="3"/>
  <c r="DK44" i="3"/>
  <c r="EL40" i="3"/>
  <c r="EH40" i="3"/>
  <c r="ED40" i="3"/>
  <c r="DZ40" i="3"/>
  <c r="DV40" i="3"/>
  <c r="DR40" i="3"/>
  <c r="EM40" i="3"/>
  <c r="EG40" i="3"/>
  <c r="EB40" i="3"/>
  <c r="DW40" i="3"/>
  <c r="DQ40" i="3"/>
  <c r="DE40" i="3"/>
  <c r="DI40" i="3"/>
  <c r="DM40" i="3"/>
  <c r="EK40" i="3"/>
  <c r="EF40" i="3"/>
  <c r="EA40" i="3"/>
  <c r="DU40" i="3"/>
  <c r="DP40" i="3"/>
  <c r="EN40" i="3"/>
  <c r="EC40" i="3"/>
  <c r="DS40" i="3"/>
  <c r="EE40" i="3"/>
  <c r="DO40" i="3"/>
  <c r="DG40" i="3"/>
  <c r="DL40" i="3"/>
  <c r="DY40" i="3"/>
  <c r="DF40" i="3"/>
  <c r="EO40" i="3"/>
  <c r="DX40" i="3"/>
  <c r="DH40" i="3"/>
  <c r="EI40" i="3"/>
  <c r="DJ40" i="3"/>
  <c r="DT40" i="3"/>
  <c r="DK40" i="3"/>
  <c r="EJ40" i="3"/>
  <c r="EL36" i="3"/>
  <c r="EH36" i="3"/>
  <c r="ED36" i="3"/>
  <c r="DZ36" i="3"/>
  <c r="DV36" i="3"/>
  <c r="DR36" i="3"/>
  <c r="EN36" i="3"/>
  <c r="EI36" i="3"/>
  <c r="EC36" i="3"/>
  <c r="DX36" i="3"/>
  <c r="DS36" i="3"/>
  <c r="DE36" i="3"/>
  <c r="DI36" i="3"/>
  <c r="DM36" i="3"/>
  <c r="EM36" i="3"/>
  <c r="EG36" i="3"/>
  <c r="EB36" i="3"/>
  <c r="DW36" i="3"/>
  <c r="DQ36" i="3"/>
  <c r="EO36" i="3"/>
  <c r="EE36" i="3"/>
  <c r="EK36" i="3"/>
  <c r="DY36" i="3"/>
  <c r="DO36" i="3"/>
  <c r="DF36" i="3"/>
  <c r="DK36" i="3"/>
  <c r="DU36" i="3"/>
  <c r="DG36" i="3"/>
  <c r="EJ36" i="3"/>
  <c r="DT36" i="3"/>
  <c r="DH36" i="3"/>
  <c r="EA36" i="3"/>
  <c r="DP36" i="3"/>
  <c r="DJ36" i="3"/>
  <c r="EF36" i="3"/>
  <c r="DL36" i="3"/>
  <c r="EL32" i="3"/>
  <c r="EH32" i="3"/>
  <c r="ED32" i="3"/>
  <c r="DZ32" i="3"/>
  <c r="DV32" i="3"/>
  <c r="DR32" i="3"/>
  <c r="EO32" i="3"/>
  <c r="EJ32" i="3"/>
  <c r="EE32" i="3"/>
  <c r="DY32" i="3"/>
  <c r="DT32" i="3"/>
  <c r="DO32" i="3"/>
  <c r="DE32" i="3"/>
  <c r="DI32" i="3"/>
  <c r="DM32" i="3"/>
  <c r="EN32" i="3"/>
  <c r="EI32" i="3"/>
  <c r="EC32" i="3"/>
  <c r="DX32" i="3"/>
  <c r="DS32" i="3"/>
  <c r="EK32" i="3"/>
  <c r="EA32" i="3"/>
  <c r="DP32" i="3"/>
  <c r="DJ32" i="3"/>
  <c r="EF32" i="3"/>
  <c r="DQ32" i="3"/>
  <c r="DG32" i="3"/>
  <c r="EB32" i="3"/>
  <c r="DH32" i="3"/>
  <c r="DU32" i="3"/>
  <c r="DK32" i="3"/>
  <c r="EM32" i="3"/>
  <c r="DL32" i="3"/>
  <c r="EG32" i="3"/>
  <c r="DW32" i="3"/>
  <c r="DF32" i="3"/>
  <c r="EL28" i="3"/>
  <c r="EH28" i="3"/>
  <c r="ED28" i="3"/>
  <c r="DZ28" i="3"/>
  <c r="DV28" i="3"/>
  <c r="DR28" i="3"/>
  <c r="EK28" i="3"/>
  <c r="EF28" i="3"/>
  <c r="EA28" i="3"/>
  <c r="DU28" i="3"/>
  <c r="DP28" i="3"/>
  <c r="DE28" i="3"/>
  <c r="DI28" i="3"/>
  <c r="DM28" i="3"/>
  <c r="EO28" i="3"/>
  <c r="EJ28" i="3"/>
  <c r="EE28" i="3"/>
  <c r="DY28" i="3"/>
  <c r="DT28" i="3"/>
  <c r="DO28" i="3"/>
  <c r="EM28" i="3"/>
  <c r="EB28" i="3"/>
  <c r="DQ28" i="3"/>
  <c r="DH28" i="3"/>
  <c r="EN28" i="3"/>
  <c r="DX28" i="3"/>
  <c r="DG28" i="3"/>
  <c r="EI28" i="3"/>
  <c r="DW28" i="3"/>
  <c r="DJ28" i="3"/>
  <c r="EG28" i="3"/>
  <c r="DF28" i="3"/>
  <c r="EC28" i="3"/>
  <c r="DK28" i="3"/>
  <c r="DS28" i="3"/>
  <c r="DL28" i="3"/>
  <c r="EL24" i="3"/>
  <c r="EH24" i="3"/>
  <c r="ED24" i="3"/>
  <c r="DZ24" i="3"/>
  <c r="DV24" i="3"/>
  <c r="DR24" i="3"/>
  <c r="EM24" i="3"/>
  <c r="EG24" i="3"/>
  <c r="EB24" i="3"/>
  <c r="DW24" i="3"/>
  <c r="DQ24" i="3"/>
  <c r="DE24" i="3"/>
  <c r="DI24" i="3"/>
  <c r="DM24" i="3"/>
  <c r="EK24" i="3"/>
  <c r="EF24" i="3"/>
  <c r="EA24" i="3"/>
  <c r="DU24" i="3"/>
  <c r="DP24" i="3"/>
  <c r="EN24" i="3"/>
  <c r="EC24" i="3"/>
  <c r="DS24" i="3"/>
  <c r="DG24" i="3"/>
  <c r="DL24" i="3"/>
  <c r="EI24" i="3"/>
  <c r="DT24" i="3"/>
  <c r="DH24" i="3"/>
  <c r="EE24" i="3"/>
  <c r="DO24" i="3"/>
  <c r="DJ24" i="3"/>
  <c r="EJ24" i="3"/>
  <c r="DK24" i="3"/>
  <c r="DY24" i="3"/>
  <c r="DX24" i="3"/>
  <c r="EO24" i="3"/>
  <c r="DF24" i="3"/>
  <c r="EL20" i="3"/>
  <c r="EH20" i="3"/>
  <c r="ED20" i="3"/>
  <c r="DZ20" i="3"/>
  <c r="DV20" i="3"/>
  <c r="DR20" i="3"/>
  <c r="EN20" i="3"/>
  <c r="EI20" i="3"/>
  <c r="EC20" i="3"/>
  <c r="DX20" i="3"/>
  <c r="DS20" i="3"/>
  <c r="DE20" i="3"/>
  <c r="DI20" i="3"/>
  <c r="DM20" i="3"/>
  <c r="EM20" i="3"/>
  <c r="EG20" i="3"/>
  <c r="EB20" i="3"/>
  <c r="DW20" i="3"/>
  <c r="DQ20" i="3"/>
  <c r="EO20" i="3"/>
  <c r="EE20" i="3"/>
  <c r="DT20" i="3"/>
  <c r="DF20" i="3"/>
  <c r="DK20" i="3"/>
  <c r="EA20" i="3"/>
  <c r="DO20" i="3"/>
  <c r="DH20" i="3"/>
  <c r="EK20" i="3"/>
  <c r="DY20" i="3"/>
  <c r="DJ20" i="3"/>
  <c r="EF20" i="3"/>
  <c r="DU20" i="3"/>
  <c r="DG20" i="3"/>
  <c r="DP20" i="3"/>
  <c r="DL20" i="3"/>
  <c r="EJ20" i="3"/>
  <c r="EO15" i="3"/>
  <c r="EK15" i="3"/>
  <c r="EG15" i="3"/>
  <c r="EC15" i="3"/>
  <c r="DY15" i="3"/>
  <c r="DU15" i="3"/>
  <c r="DQ15" i="3"/>
  <c r="EN15" i="3"/>
  <c r="EI15" i="3"/>
  <c r="ED15" i="3"/>
  <c r="DX15" i="3"/>
  <c r="DS15" i="3"/>
  <c r="DF15" i="3"/>
  <c r="DJ15" i="3"/>
  <c r="EH15" i="3"/>
  <c r="EA15" i="3"/>
  <c r="DT15" i="3"/>
  <c r="DE15" i="3"/>
  <c r="DK15" i="3"/>
  <c r="EJ15" i="3"/>
  <c r="DZ15" i="3"/>
  <c r="DP15" i="3"/>
  <c r="DI15" i="3"/>
  <c r="EF15" i="3"/>
  <c r="DW15" i="3"/>
  <c r="DO15" i="3"/>
  <c r="DL15" i="3"/>
  <c r="EL15" i="3"/>
  <c r="DM15" i="3"/>
  <c r="EE15" i="3"/>
  <c r="EB15" i="3"/>
  <c r="DG15" i="3"/>
  <c r="EM15" i="3"/>
  <c r="DV15" i="3"/>
  <c r="EO11" i="3"/>
  <c r="EK11" i="3"/>
  <c r="EG11" i="3"/>
  <c r="EC11" i="3"/>
  <c r="DY11" i="3"/>
  <c r="DU11" i="3"/>
  <c r="DQ11" i="3"/>
  <c r="EJ11" i="3"/>
  <c r="EE11" i="3"/>
  <c r="DZ11" i="3"/>
  <c r="DT11" i="3"/>
  <c r="DO11" i="3"/>
  <c r="DF11" i="3"/>
  <c r="DJ11" i="3"/>
  <c r="EI11" i="3"/>
  <c r="EB11" i="3"/>
  <c r="DV11" i="3"/>
  <c r="DI11" i="3"/>
  <c r="EM11" i="3"/>
  <c r="ED11" i="3"/>
  <c r="DS11" i="3"/>
  <c r="DK11" i="3"/>
  <c r="EL11" i="3"/>
  <c r="EA11" i="3"/>
  <c r="DE11" i="3"/>
  <c r="DL11" i="3"/>
  <c r="EF11" i="3"/>
  <c r="DG11" i="3"/>
  <c r="DX11" i="3"/>
  <c r="EN11" i="3"/>
  <c r="DW11" i="3"/>
  <c r="DM11" i="3"/>
  <c r="EH11" i="3"/>
  <c r="DP11" i="3"/>
  <c r="EM7" i="3"/>
  <c r="EI7" i="3"/>
  <c r="EE7" i="3"/>
  <c r="EA7" i="3"/>
  <c r="DW7" i="3"/>
  <c r="DS7" i="3"/>
  <c r="DO7" i="3"/>
  <c r="DF7" i="3"/>
  <c r="DJ7" i="3"/>
  <c r="EN7" i="3"/>
  <c r="EH7" i="3"/>
  <c r="EC7" i="3"/>
  <c r="DX7" i="3"/>
  <c r="DM7" i="3"/>
  <c r="EO7" i="3"/>
  <c r="EG7" i="3"/>
  <c r="DZ7" i="3"/>
  <c r="DT7" i="3"/>
  <c r="DK7" i="3"/>
  <c r="EL7" i="3"/>
  <c r="EF7" i="3"/>
  <c r="DY7" i="3"/>
  <c r="DQ7" i="3"/>
  <c r="DE7" i="3"/>
  <c r="DL7" i="3"/>
  <c r="EB7" i="3"/>
  <c r="EK7" i="3"/>
  <c r="DV7" i="3"/>
  <c r="EJ7" i="3"/>
  <c r="DU7" i="3"/>
  <c r="DG7" i="3"/>
  <c r="ED7" i="3"/>
  <c r="DP7" i="3"/>
  <c r="DI7" i="3"/>
  <c r="DB91" i="3"/>
  <c r="CZ91" i="3"/>
  <c r="DC91" i="3"/>
  <c r="CY91" i="3"/>
  <c r="DA91" i="3"/>
  <c r="DA87" i="3"/>
  <c r="CZ87" i="3"/>
  <c r="DB87" i="3"/>
  <c r="DC87" i="3"/>
  <c r="CY87" i="3"/>
  <c r="DB83" i="3"/>
  <c r="DA83" i="3"/>
  <c r="CZ83" i="3"/>
  <c r="DC83" i="3"/>
  <c r="CY83" i="3"/>
  <c r="DC79" i="3"/>
  <c r="DB79" i="3"/>
  <c r="CZ79" i="3"/>
  <c r="DA79" i="3"/>
  <c r="CY79" i="3"/>
  <c r="DA75" i="3"/>
  <c r="CZ75" i="3"/>
  <c r="DB75" i="3"/>
  <c r="CX75" i="3"/>
  <c r="DC75" i="3"/>
  <c r="DA71" i="3"/>
  <c r="CY71" i="3"/>
  <c r="DB71" i="3"/>
  <c r="CZ71" i="3"/>
  <c r="DC71" i="3"/>
  <c r="DB67" i="3"/>
  <c r="DC67" i="3"/>
  <c r="DA67" i="3"/>
  <c r="CX67" i="3"/>
  <c r="CZ67" i="3"/>
  <c r="DC63" i="3"/>
  <c r="DA63" i="3"/>
  <c r="CY63" i="3"/>
  <c r="CZ63" i="3"/>
  <c r="DB63" i="3"/>
  <c r="DA59" i="3"/>
  <c r="DC59" i="3"/>
  <c r="CY59" i="3"/>
  <c r="CZ59" i="3"/>
  <c r="DB59" i="3"/>
  <c r="DA55" i="3"/>
  <c r="DC55" i="3"/>
  <c r="CY55" i="3"/>
  <c r="DB55" i="3"/>
  <c r="CZ55" i="3"/>
  <c r="DB51" i="3"/>
  <c r="DA51" i="3"/>
  <c r="DC51" i="3"/>
  <c r="CX51" i="3"/>
  <c r="CZ51" i="3"/>
  <c r="DC47" i="3"/>
  <c r="CY47" i="3"/>
  <c r="CZ47" i="3"/>
  <c r="DB47" i="3"/>
  <c r="DA47" i="3"/>
  <c r="DC43" i="3"/>
  <c r="DA43" i="3"/>
  <c r="CX43" i="3"/>
  <c r="DB43" i="3"/>
  <c r="CY43" i="3"/>
  <c r="DA39" i="3"/>
  <c r="DB39" i="3"/>
  <c r="CX39" i="3"/>
  <c r="DC39" i="3"/>
  <c r="CY39" i="3"/>
  <c r="DB35" i="3"/>
  <c r="DC35" i="3"/>
  <c r="DA35" i="3"/>
  <c r="CX35" i="3"/>
  <c r="CZ35" i="3"/>
  <c r="DC31" i="3"/>
  <c r="CX31" i="3"/>
  <c r="CZ31" i="3"/>
  <c r="DA31" i="3"/>
  <c r="DB31" i="3"/>
  <c r="DB27" i="3"/>
  <c r="CX27" i="3"/>
  <c r="DA27" i="3"/>
  <c r="CY27" i="3"/>
  <c r="DC27" i="3"/>
  <c r="DA23" i="3"/>
  <c r="DB23" i="3"/>
  <c r="CX23" i="3"/>
  <c r="DC23" i="3"/>
  <c r="CY23" i="3"/>
  <c r="DB19" i="3"/>
  <c r="CX19" i="3"/>
  <c r="DC19" i="3"/>
  <c r="CY19" i="3"/>
  <c r="DA19" i="3"/>
  <c r="DC14" i="3"/>
  <c r="DB14" i="3"/>
  <c r="DA14" i="3"/>
  <c r="CZ14" i="3"/>
  <c r="DC10" i="3"/>
  <c r="CZ10" i="3"/>
  <c r="DA10" i="3"/>
  <c r="DB10" i="3"/>
  <c r="DC94" i="3"/>
  <c r="DA94" i="3"/>
  <c r="CY94" i="3"/>
  <c r="CZ94" i="3"/>
  <c r="DB94" i="3"/>
  <c r="DC90" i="3"/>
  <c r="DB90" i="3"/>
  <c r="DA90" i="3"/>
  <c r="CY90" i="3"/>
  <c r="CZ90" i="3"/>
  <c r="DC86" i="3"/>
  <c r="DB86" i="3"/>
  <c r="DA86" i="3"/>
  <c r="CY86" i="3"/>
  <c r="CZ86" i="3"/>
  <c r="DC82" i="3"/>
  <c r="DA82" i="3"/>
  <c r="CY82" i="3"/>
  <c r="CZ82" i="3"/>
  <c r="DB82" i="3"/>
  <c r="DC78" i="3"/>
  <c r="DA78" i="3"/>
  <c r="CY78" i="3"/>
  <c r="CZ78" i="3"/>
  <c r="DB78" i="3"/>
  <c r="DC74" i="3"/>
  <c r="DB74" i="3"/>
  <c r="DA74" i="3"/>
  <c r="CY74" i="3"/>
  <c r="CZ74" i="3"/>
  <c r="DC70" i="3"/>
  <c r="DA70" i="3"/>
  <c r="CZ70" i="3"/>
  <c r="DB70" i="3"/>
  <c r="CY70" i="3"/>
  <c r="DC66" i="3"/>
  <c r="CZ66" i="3"/>
  <c r="CX66" i="3"/>
  <c r="DB66" i="3"/>
  <c r="DA66" i="3"/>
  <c r="DC62" i="3"/>
  <c r="DA62" i="3"/>
  <c r="CZ62" i="3"/>
  <c r="DB62" i="3"/>
  <c r="CX62" i="3"/>
  <c r="DC58" i="3"/>
  <c r="DB58" i="3"/>
  <c r="DA58" i="3"/>
  <c r="CZ58" i="3"/>
  <c r="CX58" i="3"/>
  <c r="DC54" i="3"/>
  <c r="CZ54" i="3"/>
  <c r="DB54" i="3"/>
  <c r="DA54" i="3"/>
  <c r="CX54" i="3"/>
  <c r="DC50" i="3"/>
  <c r="CZ50" i="3"/>
  <c r="CY50" i="3"/>
  <c r="DA50" i="3"/>
  <c r="DB50" i="3"/>
  <c r="DC46" i="3"/>
  <c r="DA46" i="3"/>
  <c r="DB46" i="3"/>
  <c r="CZ46" i="3"/>
  <c r="CX46" i="3"/>
  <c r="DC42" i="3"/>
  <c r="DB42" i="3"/>
  <c r="CY42" i="3"/>
  <c r="DA42" i="3"/>
  <c r="CX42" i="3"/>
  <c r="DC38" i="3"/>
  <c r="CY38" i="3"/>
  <c r="DB38" i="3"/>
  <c r="CX38" i="3"/>
  <c r="DA38" i="3"/>
  <c r="DC34" i="3"/>
  <c r="DB34" i="3"/>
  <c r="CZ34" i="3"/>
  <c r="CX34" i="3"/>
  <c r="DA34" i="3"/>
  <c r="DC30" i="3"/>
  <c r="DA30" i="3"/>
  <c r="CZ30" i="3"/>
  <c r="CY30" i="3"/>
  <c r="DB30" i="3"/>
  <c r="DC26" i="3"/>
  <c r="DB26" i="3"/>
  <c r="CY26" i="3"/>
  <c r="DA26" i="3"/>
  <c r="CX26" i="3"/>
  <c r="DC22" i="3"/>
  <c r="CZ22" i="3"/>
  <c r="DB22" i="3"/>
  <c r="DA22" i="3"/>
  <c r="CX22" i="3"/>
  <c r="DC18" i="3"/>
  <c r="CY18" i="3"/>
  <c r="DA18" i="3"/>
  <c r="DB18" i="3"/>
  <c r="CX18" i="3"/>
  <c r="DB13" i="3"/>
  <c r="CY13" i="3"/>
  <c r="DC13" i="3"/>
  <c r="DA13" i="3"/>
  <c r="CZ13" i="3"/>
  <c r="DB9" i="3"/>
  <c r="DA9" i="3"/>
  <c r="DC9" i="3"/>
  <c r="CZ9" i="3"/>
  <c r="DC6" i="3"/>
  <c r="CZ6" i="3"/>
  <c r="CY6" i="3"/>
  <c r="DB6" i="3"/>
  <c r="DA6" i="3"/>
  <c r="DB93" i="3"/>
  <c r="DC93" i="3"/>
  <c r="CZ93" i="3"/>
  <c r="DA93" i="3"/>
  <c r="CY93" i="3"/>
  <c r="DB89" i="3"/>
  <c r="DA89" i="3"/>
  <c r="DC89" i="3"/>
  <c r="CZ89" i="3"/>
  <c r="CY89" i="3"/>
  <c r="DB85" i="3"/>
  <c r="DA85" i="3"/>
  <c r="CZ85" i="3"/>
  <c r="DC85" i="3"/>
  <c r="CY85" i="3"/>
  <c r="DB81" i="3"/>
  <c r="DC81" i="3"/>
  <c r="CZ81" i="3"/>
  <c r="DA81" i="3"/>
  <c r="CY81" i="3"/>
  <c r="DB77" i="3"/>
  <c r="DA77" i="3"/>
  <c r="CZ77" i="3"/>
  <c r="DC77" i="3"/>
  <c r="CY77" i="3"/>
  <c r="DB73" i="3"/>
  <c r="DC73" i="3"/>
  <c r="CZ73" i="3"/>
  <c r="DA73" i="3"/>
  <c r="CX73" i="3"/>
  <c r="DB69" i="3"/>
  <c r="DA69" i="3"/>
  <c r="CX69" i="3"/>
  <c r="CZ69" i="3"/>
  <c r="DC69" i="3"/>
  <c r="DB65" i="3"/>
  <c r="DC65" i="3"/>
  <c r="DA65" i="3"/>
  <c r="CZ65" i="3"/>
  <c r="CX65" i="3"/>
  <c r="DB61" i="3"/>
  <c r="DA61" i="3"/>
  <c r="DC61" i="3"/>
  <c r="CY61" i="3"/>
  <c r="CZ61" i="3"/>
  <c r="DB57" i="3"/>
  <c r="DC57" i="3"/>
  <c r="CZ57" i="3"/>
  <c r="DA57" i="3"/>
  <c r="CX57" i="3"/>
  <c r="DB53" i="3"/>
  <c r="DA53" i="3"/>
  <c r="DC53" i="3"/>
  <c r="CY53" i="3"/>
  <c r="CZ53" i="3"/>
  <c r="DB49" i="3"/>
  <c r="DC49" i="3"/>
  <c r="CZ49" i="3"/>
  <c r="DA49" i="3"/>
  <c r="CY49" i="3"/>
  <c r="DB45" i="3"/>
  <c r="DA45" i="3"/>
  <c r="DC45" i="3"/>
  <c r="CY45" i="3"/>
  <c r="CZ45" i="3"/>
  <c r="DB41" i="3"/>
  <c r="DC41" i="3"/>
  <c r="CY41" i="3"/>
  <c r="DA41" i="3"/>
  <c r="CX41" i="3"/>
  <c r="DB37" i="3"/>
  <c r="DA37" i="3"/>
  <c r="CX37" i="3"/>
  <c r="CY37" i="3"/>
  <c r="DC37" i="3"/>
  <c r="DB33" i="3"/>
  <c r="DC33" i="3"/>
  <c r="CZ33" i="3"/>
  <c r="DA33" i="3"/>
  <c r="CY33" i="3"/>
  <c r="DB29" i="3"/>
  <c r="DC29" i="3"/>
  <c r="CY29" i="3"/>
  <c r="DA29" i="3"/>
  <c r="CX29" i="3"/>
  <c r="DB25" i="3"/>
  <c r="DA25" i="3"/>
  <c r="CX25" i="3"/>
  <c r="CY25" i="3"/>
  <c r="DC25" i="3"/>
  <c r="DB21" i="3"/>
  <c r="DA21" i="3"/>
  <c r="CY21" i="3"/>
  <c r="CX21" i="3"/>
  <c r="DC21" i="3"/>
  <c r="DA16" i="3"/>
  <c r="DB16" i="3"/>
  <c r="DC16" i="3"/>
  <c r="CZ16" i="3"/>
  <c r="DA12" i="3"/>
  <c r="DC12" i="3"/>
  <c r="DB12" i="3"/>
  <c r="CZ12" i="3"/>
  <c r="DA8" i="3"/>
  <c r="DB8" i="3"/>
  <c r="DC8" i="3"/>
  <c r="CZ8" i="3"/>
  <c r="DA92" i="3"/>
  <c r="DB92" i="3"/>
  <c r="DC92" i="3"/>
  <c r="CY92" i="3"/>
  <c r="CZ92" i="3"/>
  <c r="DA88" i="3"/>
  <c r="DC88" i="3"/>
  <c r="CY88" i="3"/>
  <c r="DB88" i="3"/>
  <c r="CZ88" i="3"/>
  <c r="DA84" i="3"/>
  <c r="DB84" i="3"/>
  <c r="CY84" i="3"/>
  <c r="CZ84" i="3"/>
  <c r="DC84" i="3"/>
  <c r="DA80" i="3"/>
  <c r="DB80" i="3"/>
  <c r="DC80" i="3"/>
  <c r="CY80" i="3"/>
  <c r="CZ80" i="3"/>
  <c r="DA76" i="3"/>
  <c r="DB76" i="3"/>
  <c r="DC76" i="3"/>
  <c r="CY76" i="3"/>
  <c r="CZ76" i="3"/>
  <c r="DA72" i="3"/>
  <c r="DC72" i="3"/>
  <c r="DB72" i="3"/>
  <c r="CZ72" i="3"/>
  <c r="CX72" i="3"/>
  <c r="DA68" i="3"/>
  <c r="CZ68" i="3"/>
  <c r="CX68" i="3"/>
  <c r="DB68" i="3"/>
  <c r="DC68" i="3"/>
  <c r="DA64" i="3"/>
  <c r="CZ64" i="3"/>
  <c r="DB64" i="3"/>
  <c r="DC64" i="3"/>
  <c r="CY64" i="3"/>
  <c r="DA60" i="3"/>
  <c r="DB60" i="3"/>
  <c r="DC60" i="3"/>
  <c r="CZ60" i="3"/>
  <c r="CY60" i="3"/>
  <c r="DA56" i="3"/>
  <c r="DC56" i="3"/>
  <c r="CZ56" i="3"/>
  <c r="DB56" i="3"/>
  <c r="CY56" i="3"/>
  <c r="DA52" i="3"/>
  <c r="CZ52" i="3"/>
  <c r="CY52" i="3"/>
  <c r="DB52" i="3"/>
  <c r="DC52" i="3"/>
  <c r="DA48" i="3"/>
  <c r="DC48" i="3"/>
  <c r="CZ48" i="3"/>
  <c r="DB48" i="3"/>
  <c r="CY48" i="3"/>
  <c r="DA44" i="3"/>
  <c r="DB44" i="3"/>
  <c r="CZ44" i="3"/>
  <c r="CY44" i="3"/>
  <c r="DC44" i="3"/>
  <c r="DA40" i="3"/>
  <c r="DC40" i="3"/>
  <c r="CY40" i="3"/>
  <c r="CX40" i="3"/>
  <c r="DB40" i="3"/>
  <c r="DA36" i="3"/>
  <c r="DC36" i="3"/>
  <c r="CY36" i="3"/>
  <c r="CX36" i="3"/>
  <c r="DB36" i="3"/>
  <c r="DA32" i="3"/>
  <c r="CY32" i="3"/>
  <c r="DB32" i="3"/>
  <c r="CX32" i="3"/>
  <c r="DC32" i="3"/>
  <c r="DA28" i="3"/>
  <c r="DB28" i="3"/>
  <c r="CY28" i="3"/>
  <c r="DC28" i="3"/>
  <c r="CX28" i="3"/>
  <c r="DA24" i="3"/>
  <c r="DC24" i="3"/>
  <c r="CY24" i="3"/>
  <c r="CX24" i="3"/>
  <c r="DB24" i="3"/>
  <c r="DA20" i="3"/>
  <c r="CY20" i="3"/>
  <c r="DB20" i="3"/>
  <c r="DC20" i="3"/>
  <c r="CX20" i="3"/>
  <c r="CY15" i="3"/>
  <c r="DA15" i="3"/>
  <c r="DB15" i="3"/>
  <c r="CZ15" i="3"/>
  <c r="DC15" i="3"/>
  <c r="DA11" i="3"/>
  <c r="DC11" i="3"/>
  <c r="DB11" i="3"/>
  <c r="CZ11" i="3"/>
  <c r="DB7" i="3"/>
  <c r="CY7" i="3"/>
  <c r="DA7" i="3"/>
  <c r="CZ7" i="3"/>
  <c r="DC7" i="3"/>
  <c r="L6" i="3"/>
  <c r="CX6" i="3" s="1"/>
  <c r="K6" i="3"/>
  <c r="CX94" i="3"/>
  <c r="CX93" i="3"/>
  <c r="CX92" i="3"/>
  <c r="CX91" i="3"/>
  <c r="CX90" i="3"/>
  <c r="CX89" i="3"/>
  <c r="CX88" i="3"/>
  <c r="CX87" i="3"/>
  <c r="CX86" i="3"/>
  <c r="CX85" i="3"/>
  <c r="CX84" i="3"/>
  <c r="CX83" i="3"/>
  <c r="CX82" i="3"/>
  <c r="CX81" i="3"/>
  <c r="CX80" i="3"/>
  <c r="CX79" i="3"/>
  <c r="CX78" i="3"/>
  <c r="CX77" i="3"/>
  <c r="CX76" i="3"/>
  <c r="CY75" i="3"/>
  <c r="CX74" i="3"/>
  <c r="CY73" i="3"/>
  <c r="CY72" i="3"/>
  <c r="CX71" i="3"/>
  <c r="CX70" i="3"/>
  <c r="CY69" i="3"/>
  <c r="CY68" i="3"/>
  <c r="CY67" i="3"/>
  <c r="CY66" i="3"/>
  <c r="CY65" i="3"/>
  <c r="CX64" i="3"/>
  <c r="CX63" i="3"/>
  <c r="CY62" i="3"/>
  <c r="CX61" i="3"/>
  <c r="CX60" i="3"/>
  <c r="CX59" i="3"/>
  <c r="CY58" i="3"/>
  <c r="CY57" i="3"/>
  <c r="CX56" i="3"/>
  <c r="CX55" i="3"/>
  <c r="CY54" i="3"/>
  <c r="CX53" i="3"/>
  <c r="CX52" i="3"/>
  <c r="CY51" i="3"/>
  <c r="CX50" i="3"/>
  <c r="CX49" i="3"/>
  <c r="CX48" i="3"/>
  <c r="CX47" i="3"/>
  <c r="CY46" i="3"/>
  <c r="CX45" i="3"/>
  <c r="CX44" i="3"/>
  <c r="CZ43" i="3"/>
  <c r="CZ42" i="3"/>
  <c r="CZ41" i="3"/>
  <c r="CZ40" i="3"/>
  <c r="CZ39" i="3"/>
  <c r="CZ38" i="3"/>
  <c r="CZ37" i="3"/>
  <c r="CZ36" i="3"/>
  <c r="CY35" i="3"/>
  <c r="CY34" i="3"/>
  <c r="CX33" i="3"/>
  <c r="CZ32" i="3"/>
  <c r="CY31" i="3"/>
  <c r="CX30" i="3"/>
  <c r="CZ29" i="3"/>
  <c r="CZ28" i="3"/>
  <c r="CZ27" i="3"/>
  <c r="CZ26" i="3"/>
  <c r="CZ25" i="3"/>
  <c r="CZ24" i="3"/>
  <c r="CZ23" i="3"/>
  <c r="CY22" i="3"/>
  <c r="CZ21" i="3"/>
  <c r="CZ20" i="3"/>
  <c r="CZ19" i="3"/>
  <c r="CZ18" i="3"/>
  <c r="CY16" i="3"/>
  <c r="L15" i="3"/>
  <c r="CX15" i="3" s="1"/>
  <c r="K15" i="3"/>
  <c r="L14" i="3"/>
  <c r="CX14" i="3" s="1"/>
  <c r="K14" i="3"/>
  <c r="K13" i="3"/>
  <c r="L13" i="3"/>
  <c r="CX13" i="3" s="1"/>
  <c r="L12" i="3"/>
  <c r="CX12" i="3" s="1"/>
  <c r="K12" i="3"/>
  <c r="L11" i="3"/>
  <c r="CX11" i="3" s="1"/>
  <c r="K11" i="3"/>
  <c r="L10" i="3"/>
  <c r="CX10" i="3" s="1"/>
  <c r="K10" i="3"/>
  <c r="K9" i="3"/>
  <c r="L9" i="3"/>
  <c r="CX9" i="3" s="1"/>
  <c r="L8" i="3"/>
  <c r="CX8" i="3" s="1"/>
  <c r="K8" i="3"/>
  <c r="L7" i="3"/>
  <c r="CX7" i="3" s="1"/>
  <c r="K7" i="3"/>
  <c r="J7" i="3"/>
  <c r="H6" i="3"/>
  <c r="V6" i="3" s="1"/>
  <c r="J6" i="3"/>
  <c r="J14" i="3"/>
  <c r="J13" i="3"/>
  <c r="J11" i="3"/>
  <c r="J9" i="3"/>
  <c r="H14" i="3"/>
  <c r="H9" i="3"/>
  <c r="H16" i="3"/>
  <c r="J15" i="3"/>
  <c r="J12" i="3"/>
  <c r="H12" i="3"/>
  <c r="J10" i="3"/>
  <c r="J8" i="3"/>
  <c r="H8" i="3"/>
  <c r="H13" i="3"/>
  <c r="H7" i="3"/>
  <c r="H11" i="3"/>
  <c r="H15" i="3"/>
  <c r="H10" i="3"/>
  <c r="F4" i="2"/>
  <c r="G4" i="2"/>
  <c r="H4" i="2"/>
  <c r="I4" i="2"/>
  <c r="J4" i="2"/>
  <c r="K4" i="2"/>
  <c r="L4" i="2"/>
  <c r="M4" i="2"/>
  <c r="N4" i="2"/>
  <c r="O4" i="2"/>
  <c r="P4" i="2"/>
  <c r="Q4" i="2"/>
  <c r="R4" i="2"/>
  <c r="S4" i="2"/>
  <c r="T4" i="2"/>
  <c r="U4" i="2"/>
  <c r="V4" i="2"/>
  <c r="W4" i="2"/>
  <c r="X4" i="2"/>
  <c r="Y4" i="2"/>
  <c r="Z4" i="2"/>
  <c r="AA4" i="2"/>
  <c r="AB4" i="2"/>
  <c r="AC4" i="2"/>
  <c r="AD4" i="2"/>
  <c r="AE4" i="2"/>
  <c r="AF4" i="2"/>
  <c r="AG4" i="2"/>
  <c r="AH4" i="2"/>
  <c r="AI4" i="2"/>
  <c r="AJ4" i="2"/>
  <c r="AK4" i="2"/>
  <c r="AL4" i="2"/>
  <c r="AM4" i="2"/>
  <c r="AN4" i="2"/>
  <c r="AO4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AB5" i="2"/>
  <c r="AC5" i="2"/>
  <c r="AD5" i="2"/>
  <c r="AE5" i="2"/>
  <c r="AF5" i="2"/>
  <c r="AG5" i="2"/>
  <c r="AH5" i="2"/>
  <c r="AI5" i="2"/>
  <c r="AJ5" i="2"/>
  <c r="AK5" i="2"/>
  <c r="AL5" i="2"/>
  <c r="AM5" i="2"/>
  <c r="AN5" i="2"/>
  <c r="AO5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K6" i="2"/>
  <c r="AL6" i="2"/>
  <c r="AM6" i="2"/>
  <c r="AN6" i="2"/>
  <c r="AO6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C7" i="2"/>
  <c r="AD7" i="2"/>
  <c r="AE7" i="2"/>
  <c r="AF7" i="2"/>
  <c r="AG7" i="2"/>
  <c r="AH7" i="2"/>
  <c r="AI7" i="2"/>
  <c r="AJ7" i="2"/>
  <c r="AK7" i="2"/>
  <c r="AL7" i="2"/>
  <c r="AM7" i="2"/>
  <c r="AN7" i="2"/>
  <c r="AO7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8" i="2"/>
  <c r="AA8" i="2"/>
  <c r="AB8" i="2"/>
  <c r="AC8" i="2"/>
  <c r="AD8" i="2"/>
  <c r="AE8" i="2"/>
  <c r="AF8" i="2"/>
  <c r="AG8" i="2"/>
  <c r="AH8" i="2"/>
  <c r="AI8" i="2"/>
  <c r="AJ8" i="2"/>
  <c r="AK8" i="2"/>
  <c r="AL8" i="2"/>
  <c r="AM8" i="2"/>
  <c r="AN8" i="2"/>
  <c r="AO8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F10" i="2"/>
  <c r="G10" i="2"/>
  <c r="H10" i="2"/>
  <c r="I10" i="2"/>
  <c r="J10" i="2"/>
  <c r="K10" i="2"/>
  <c r="L10" i="2"/>
  <c r="M10" i="2"/>
  <c r="N10" i="2"/>
  <c r="O10" i="2"/>
  <c r="P10" i="2"/>
  <c r="Q10" i="2"/>
  <c r="R10" i="2"/>
  <c r="S10" i="2"/>
  <c r="T10" i="2"/>
  <c r="U10" i="2"/>
  <c r="V10" i="2"/>
  <c r="W10" i="2"/>
  <c r="X10" i="2"/>
  <c r="Y10" i="2"/>
  <c r="Z10" i="2"/>
  <c r="AA10" i="2"/>
  <c r="AB10" i="2"/>
  <c r="AC10" i="2"/>
  <c r="AD10" i="2"/>
  <c r="AE10" i="2"/>
  <c r="AF10" i="2"/>
  <c r="AG10" i="2"/>
  <c r="AH10" i="2"/>
  <c r="AI10" i="2"/>
  <c r="AJ10" i="2"/>
  <c r="AK10" i="2"/>
  <c r="AL10" i="2"/>
  <c r="AM10" i="2"/>
  <c r="AN10" i="2"/>
  <c r="AO10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F12" i="2"/>
  <c r="G12" i="2"/>
  <c r="H12" i="2"/>
  <c r="I12" i="2"/>
  <c r="J12" i="2"/>
  <c r="K12" i="2"/>
  <c r="L12" i="2"/>
  <c r="M12" i="2"/>
  <c r="N12" i="2"/>
  <c r="O12" i="2"/>
  <c r="P12" i="2"/>
  <c r="Q12" i="2"/>
  <c r="R12" i="2"/>
  <c r="S12" i="2"/>
  <c r="T12" i="2"/>
  <c r="U12" i="2"/>
  <c r="V12" i="2"/>
  <c r="W12" i="2"/>
  <c r="X12" i="2"/>
  <c r="Y12" i="2"/>
  <c r="Z12" i="2"/>
  <c r="AA12" i="2"/>
  <c r="AB12" i="2"/>
  <c r="AC12" i="2"/>
  <c r="AD12" i="2"/>
  <c r="AE12" i="2"/>
  <c r="AF12" i="2"/>
  <c r="AG12" i="2"/>
  <c r="AH12" i="2"/>
  <c r="AI12" i="2"/>
  <c r="AJ12" i="2"/>
  <c r="AK12" i="2"/>
  <c r="AL12" i="2"/>
  <c r="AM12" i="2"/>
  <c r="AN12" i="2"/>
  <c r="AO12" i="2"/>
  <c r="F14" i="2"/>
  <c r="G14" i="2"/>
  <c r="H14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AK14" i="2"/>
  <c r="AL14" i="2"/>
  <c r="AM14" i="2"/>
  <c r="AN14" i="2"/>
  <c r="AO14" i="2"/>
  <c r="F15" i="2"/>
  <c r="G15" i="2"/>
  <c r="H15" i="2"/>
  <c r="I15" i="2"/>
  <c r="J15" i="2"/>
  <c r="K15" i="2"/>
  <c r="L15" i="2"/>
  <c r="M15" i="2"/>
  <c r="N15" i="2"/>
  <c r="O15" i="2"/>
  <c r="P15" i="2"/>
  <c r="Q15" i="2"/>
  <c r="R15" i="2"/>
  <c r="S15" i="2"/>
  <c r="T15" i="2"/>
  <c r="U15" i="2"/>
  <c r="V15" i="2"/>
  <c r="W15" i="2"/>
  <c r="X15" i="2"/>
  <c r="Y15" i="2"/>
  <c r="Z15" i="2"/>
  <c r="AA15" i="2"/>
  <c r="AB15" i="2"/>
  <c r="AC15" i="2"/>
  <c r="AD15" i="2"/>
  <c r="AE15" i="2"/>
  <c r="AF15" i="2"/>
  <c r="AG15" i="2"/>
  <c r="AH15" i="2"/>
  <c r="AI15" i="2"/>
  <c r="AJ15" i="2"/>
  <c r="AK15" i="2"/>
  <c r="AL15" i="2"/>
  <c r="AM15" i="2"/>
  <c r="AN15" i="2"/>
  <c r="AO15" i="2"/>
  <c r="F16" i="2"/>
  <c r="G16" i="2"/>
  <c r="H16" i="2"/>
  <c r="I16" i="2"/>
  <c r="J16" i="2"/>
  <c r="K16" i="2"/>
  <c r="L16" i="2"/>
  <c r="M16" i="2"/>
  <c r="N16" i="2"/>
  <c r="O16" i="2"/>
  <c r="P16" i="2"/>
  <c r="Q16" i="2"/>
  <c r="R16" i="2"/>
  <c r="S16" i="2"/>
  <c r="T16" i="2"/>
  <c r="U16" i="2"/>
  <c r="V16" i="2"/>
  <c r="W16" i="2"/>
  <c r="X16" i="2"/>
  <c r="Y16" i="2"/>
  <c r="Z16" i="2"/>
  <c r="AA16" i="2"/>
  <c r="AB16" i="2"/>
  <c r="AC16" i="2"/>
  <c r="AD16" i="2"/>
  <c r="AE16" i="2"/>
  <c r="AF16" i="2"/>
  <c r="AG16" i="2"/>
  <c r="AH16" i="2"/>
  <c r="AI16" i="2"/>
  <c r="AJ16" i="2"/>
  <c r="AK16" i="2"/>
  <c r="AL16" i="2"/>
  <c r="AM16" i="2"/>
  <c r="AN16" i="2"/>
  <c r="AO16" i="2"/>
  <c r="F17" i="2"/>
  <c r="G17" i="2"/>
  <c r="H17" i="2"/>
  <c r="I17" i="2"/>
  <c r="J17" i="2"/>
  <c r="K17" i="2"/>
  <c r="L17" i="2"/>
  <c r="M17" i="2"/>
  <c r="N17" i="2"/>
  <c r="O17" i="2"/>
  <c r="P17" i="2"/>
  <c r="Q17" i="2"/>
  <c r="R17" i="2"/>
  <c r="S17" i="2"/>
  <c r="T17" i="2"/>
  <c r="U17" i="2"/>
  <c r="V17" i="2"/>
  <c r="W17" i="2"/>
  <c r="X17" i="2"/>
  <c r="Y17" i="2"/>
  <c r="Z17" i="2"/>
  <c r="AA17" i="2"/>
  <c r="AB17" i="2"/>
  <c r="AC17" i="2"/>
  <c r="AD17" i="2"/>
  <c r="AE17" i="2"/>
  <c r="AF17" i="2"/>
  <c r="AG17" i="2"/>
  <c r="AH17" i="2"/>
  <c r="AI17" i="2"/>
  <c r="AJ17" i="2"/>
  <c r="AK17" i="2"/>
  <c r="AL17" i="2"/>
  <c r="AM17" i="2"/>
  <c r="AN17" i="2"/>
  <c r="AO17" i="2"/>
  <c r="F18" i="2"/>
  <c r="G18" i="2"/>
  <c r="H18" i="2"/>
  <c r="I18" i="2"/>
  <c r="J18" i="2"/>
  <c r="K18" i="2"/>
  <c r="L18" i="2"/>
  <c r="M18" i="2"/>
  <c r="N18" i="2"/>
  <c r="O18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18" i="2"/>
  <c r="AJ18" i="2"/>
  <c r="AK18" i="2"/>
  <c r="AL18" i="2"/>
  <c r="AM18" i="2"/>
  <c r="AN18" i="2"/>
  <c r="AO18" i="2"/>
  <c r="F19" i="2"/>
  <c r="G19" i="2"/>
  <c r="H19" i="2"/>
  <c r="I19" i="2"/>
  <c r="J19" i="2"/>
  <c r="K19" i="2"/>
  <c r="L19" i="2"/>
  <c r="M19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  <c r="S20" i="2"/>
  <c r="T20" i="2"/>
  <c r="U20" i="2"/>
  <c r="V20" i="2"/>
  <c r="W20" i="2"/>
  <c r="X20" i="2"/>
  <c r="Y20" i="2"/>
  <c r="Z20" i="2"/>
  <c r="AA20" i="2"/>
  <c r="AB20" i="2"/>
  <c r="AC20" i="2"/>
  <c r="AD20" i="2"/>
  <c r="AE20" i="2"/>
  <c r="AF20" i="2"/>
  <c r="AG20" i="2"/>
  <c r="AH20" i="2"/>
  <c r="AI20" i="2"/>
  <c r="AJ20" i="2"/>
  <c r="AK20" i="2"/>
  <c r="AL20" i="2"/>
  <c r="AM20" i="2"/>
  <c r="AN20" i="2"/>
  <c r="AO20" i="2"/>
  <c r="F21" i="2"/>
  <c r="G21" i="2"/>
  <c r="H21" i="2"/>
  <c r="I21" i="2"/>
  <c r="J21" i="2"/>
  <c r="K21" i="2"/>
  <c r="L21" i="2"/>
  <c r="M21" i="2"/>
  <c r="N21" i="2"/>
  <c r="O21" i="2"/>
  <c r="P21" i="2"/>
  <c r="Q21" i="2"/>
  <c r="R21" i="2"/>
  <c r="S21" i="2"/>
  <c r="T21" i="2"/>
  <c r="U21" i="2"/>
  <c r="V21" i="2"/>
  <c r="W21" i="2"/>
  <c r="X21" i="2"/>
  <c r="Y21" i="2"/>
  <c r="Z21" i="2"/>
  <c r="AA21" i="2"/>
  <c r="AB21" i="2"/>
  <c r="AC21" i="2"/>
  <c r="AD21" i="2"/>
  <c r="AE21" i="2"/>
  <c r="AF21" i="2"/>
  <c r="AG21" i="2"/>
  <c r="AH21" i="2"/>
  <c r="AI21" i="2"/>
  <c r="AJ21" i="2"/>
  <c r="AK21" i="2"/>
  <c r="AL21" i="2"/>
  <c r="AM21" i="2"/>
  <c r="AN21" i="2"/>
  <c r="AO21" i="2"/>
  <c r="F22" i="2"/>
  <c r="G22" i="2"/>
  <c r="H22" i="2"/>
  <c r="I22" i="2"/>
  <c r="J22" i="2"/>
  <c r="K22" i="2"/>
  <c r="L22" i="2"/>
  <c r="M22" i="2"/>
  <c r="N22" i="2"/>
  <c r="O22" i="2"/>
  <c r="P22" i="2"/>
  <c r="Q22" i="2"/>
  <c r="R22" i="2"/>
  <c r="S22" i="2"/>
  <c r="T22" i="2"/>
  <c r="U22" i="2"/>
  <c r="V22" i="2"/>
  <c r="W22" i="2"/>
  <c r="X22" i="2"/>
  <c r="Y22" i="2"/>
  <c r="Z22" i="2"/>
  <c r="AA22" i="2"/>
  <c r="AB22" i="2"/>
  <c r="AC22" i="2"/>
  <c r="AD22" i="2"/>
  <c r="AE22" i="2"/>
  <c r="AF22" i="2"/>
  <c r="AG22" i="2"/>
  <c r="AH22" i="2"/>
  <c r="AI22" i="2"/>
  <c r="AJ22" i="2"/>
  <c r="AK22" i="2"/>
  <c r="AL22" i="2"/>
  <c r="AM22" i="2"/>
  <c r="AN22" i="2"/>
  <c r="AO22" i="2"/>
  <c r="F23" i="2"/>
  <c r="G23" i="2"/>
  <c r="H23" i="2"/>
  <c r="I23" i="2"/>
  <c r="J23" i="2"/>
  <c r="K23" i="2"/>
  <c r="L23" i="2"/>
  <c r="M23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F24" i="2"/>
  <c r="G24" i="2"/>
  <c r="H24" i="2"/>
  <c r="I24" i="2"/>
  <c r="J24" i="2"/>
  <c r="K24" i="2"/>
  <c r="L24" i="2"/>
  <c r="M24" i="2"/>
  <c r="N24" i="2"/>
  <c r="O24" i="2"/>
  <c r="P24" i="2"/>
  <c r="Q24" i="2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F25" i="2"/>
  <c r="G25" i="2"/>
  <c r="H25" i="2"/>
  <c r="I25" i="2"/>
  <c r="J25" i="2"/>
  <c r="K25" i="2"/>
  <c r="L25" i="2"/>
  <c r="M25" i="2"/>
  <c r="N25" i="2"/>
  <c r="O25" i="2"/>
  <c r="P25" i="2"/>
  <c r="Q25" i="2"/>
  <c r="R25" i="2"/>
  <c r="S25" i="2"/>
  <c r="T25" i="2"/>
  <c r="U25" i="2"/>
  <c r="V25" i="2"/>
  <c r="W25" i="2"/>
  <c r="X25" i="2"/>
  <c r="Y25" i="2"/>
  <c r="Z25" i="2"/>
  <c r="AA25" i="2"/>
  <c r="AB25" i="2"/>
  <c r="AC25" i="2"/>
  <c r="AD25" i="2"/>
  <c r="AE25" i="2"/>
  <c r="AF25" i="2"/>
  <c r="AG25" i="2"/>
  <c r="AH25" i="2"/>
  <c r="AI25" i="2"/>
  <c r="AJ25" i="2"/>
  <c r="AK25" i="2"/>
  <c r="AL25" i="2"/>
  <c r="AM25" i="2"/>
  <c r="AN25" i="2"/>
  <c r="AO25" i="2"/>
  <c r="F26" i="2"/>
  <c r="G26" i="2"/>
  <c r="H26" i="2"/>
  <c r="I26" i="2"/>
  <c r="J26" i="2"/>
  <c r="K26" i="2"/>
  <c r="L26" i="2"/>
  <c r="M26" i="2"/>
  <c r="N26" i="2"/>
  <c r="O26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AI26" i="2"/>
  <c r="AJ26" i="2"/>
  <c r="AK26" i="2"/>
  <c r="AL26" i="2"/>
  <c r="AM26" i="2"/>
  <c r="AN26" i="2"/>
  <c r="AO26" i="2"/>
  <c r="F27" i="2"/>
  <c r="G27" i="2"/>
  <c r="H27" i="2"/>
  <c r="I27" i="2"/>
  <c r="J27" i="2"/>
  <c r="K27" i="2"/>
  <c r="L27" i="2"/>
  <c r="M27" i="2"/>
  <c r="N27" i="2"/>
  <c r="O27" i="2"/>
  <c r="P27" i="2"/>
  <c r="Q27" i="2"/>
  <c r="R27" i="2"/>
  <c r="S27" i="2"/>
  <c r="T27" i="2"/>
  <c r="U27" i="2"/>
  <c r="V27" i="2"/>
  <c r="W27" i="2"/>
  <c r="X27" i="2"/>
  <c r="Y27" i="2"/>
  <c r="Z27" i="2"/>
  <c r="AA27" i="2"/>
  <c r="AB27" i="2"/>
  <c r="AC27" i="2"/>
  <c r="AD27" i="2"/>
  <c r="AE27" i="2"/>
  <c r="AF27" i="2"/>
  <c r="AG27" i="2"/>
  <c r="AH27" i="2"/>
  <c r="AI27" i="2"/>
  <c r="AJ27" i="2"/>
  <c r="AK27" i="2"/>
  <c r="AL27" i="2"/>
  <c r="AM27" i="2"/>
  <c r="AN27" i="2"/>
  <c r="AO27" i="2"/>
  <c r="F28" i="2"/>
  <c r="G28" i="2"/>
  <c r="H28" i="2"/>
  <c r="I28" i="2"/>
  <c r="J28" i="2"/>
  <c r="K28" i="2"/>
  <c r="L28" i="2"/>
  <c r="M28" i="2"/>
  <c r="N28" i="2"/>
  <c r="O28" i="2"/>
  <c r="P28" i="2"/>
  <c r="Q28" i="2"/>
  <c r="R28" i="2"/>
  <c r="S28" i="2"/>
  <c r="T28" i="2"/>
  <c r="U28" i="2"/>
  <c r="V28" i="2"/>
  <c r="W28" i="2"/>
  <c r="X28" i="2"/>
  <c r="Y28" i="2"/>
  <c r="Z28" i="2"/>
  <c r="AA28" i="2"/>
  <c r="AB28" i="2"/>
  <c r="AC28" i="2"/>
  <c r="AD28" i="2"/>
  <c r="AE28" i="2"/>
  <c r="AF28" i="2"/>
  <c r="AG28" i="2"/>
  <c r="AH28" i="2"/>
  <c r="AI28" i="2"/>
  <c r="AJ28" i="2"/>
  <c r="AK28" i="2"/>
  <c r="AL28" i="2"/>
  <c r="AM28" i="2"/>
  <c r="AN28" i="2"/>
  <c r="AO28" i="2"/>
  <c r="F29" i="2"/>
  <c r="G29" i="2"/>
  <c r="H29" i="2"/>
  <c r="I29" i="2"/>
  <c r="J29" i="2"/>
  <c r="K29" i="2"/>
  <c r="L29" i="2"/>
  <c r="M29" i="2"/>
  <c r="N29" i="2"/>
  <c r="O29" i="2"/>
  <c r="P29" i="2"/>
  <c r="Q29" i="2"/>
  <c r="R29" i="2"/>
  <c r="S29" i="2"/>
  <c r="T29" i="2"/>
  <c r="U29" i="2"/>
  <c r="V29" i="2"/>
  <c r="W29" i="2"/>
  <c r="X29" i="2"/>
  <c r="Y29" i="2"/>
  <c r="Z29" i="2"/>
  <c r="AA29" i="2"/>
  <c r="AB29" i="2"/>
  <c r="AC29" i="2"/>
  <c r="AD29" i="2"/>
  <c r="AE29" i="2"/>
  <c r="AF29" i="2"/>
  <c r="AG29" i="2"/>
  <c r="AH29" i="2"/>
  <c r="AI29" i="2"/>
  <c r="AJ29" i="2"/>
  <c r="AK29" i="2"/>
  <c r="AL29" i="2"/>
  <c r="AM29" i="2"/>
  <c r="AN29" i="2"/>
  <c r="AO29" i="2"/>
  <c r="F30" i="2"/>
  <c r="G30" i="2"/>
  <c r="H30" i="2"/>
  <c r="I30" i="2"/>
  <c r="J30" i="2"/>
  <c r="K30" i="2"/>
  <c r="L30" i="2"/>
  <c r="M30" i="2"/>
  <c r="N30" i="2"/>
  <c r="O30" i="2"/>
  <c r="P30" i="2"/>
  <c r="Q30" i="2"/>
  <c r="R30" i="2"/>
  <c r="S30" i="2"/>
  <c r="T30" i="2"/>
  <c r="U30" i="2"/>
  <c r="V30" i="2"/>
  <c r="W30" i="2"/>
  <c r="X30" i="2"/>
  <c r="Y30" i="2"/>
  <c r="Z30" i="2"/>
  <c r="AA30" i="2"/>
  <c r="AB30" i="2"/>
  <c r="AC30" i="2"/>
  <c r="AD30" i="2"/>
  <c r="AE30" i="2"/>
  <c r="AF30" i="2"/>
  <c r="AG30" i="2"/>
  <c r="AH30" i="2"/>
  <c r="AI30" i="2"/>
  <c r="AJ30" i="2"/>
  <c r="AK30" i="2"/>
  <c r="AL30" i="2"/>
  <c r="AM30" i="2"/>
  <c r="AN30" i="2"/>
  <c r="AO30" i="2"/>
  <c r="F31" i="2"/>
  <c r="G31" i="2"/>
  <c r="H31" i="2"/>
  <c r="I31" i="2"/>
  <c r="J31" i="2"/>
  <c r="K31" i="2"/>
  <c r="L31" i="2"/>
  <c r="M31" i="2"/>
  <c r="N31" i="2"/>
  <c r="O31" i="2"/>
  <c r="P31" i="2"/>
  <c r="Q31" i="2"/>
  <c r="R31" i="2"/>
  <c r="S31" i="2"/>
  <c r="T31" i="2"/>
  <c r="U31" i="2"/>
  <c r="V31" i="2"/>
  <c r="W31" i="2"/>
  <c r="X31" i="2"/>
  <c r="Y31" i="2"/>
  <c r="Z31" i="2"/>
  <c r="AA31" i="2"/>
  <c r="AB31" i="2"/>
  <c r="AC31" i="2"/>
  <c r="AD31" i="2"/>
  <c r="AE31" i="2"/>
  <c r="AF31" i="2"/>
  <c r="AG31" i="2"/>
  <c r="AH31" i="2"/>
  <c r="AI31" i="2"/>
  <c r="AJ31" i="2"/>
  <c r="AK31" i="2"/>
  <c r="AL31" i="2"/>
  <c r="AM31" i="2"/>
  <c r="AN31" i="2"/>
  <c r="AO31" i="2"/>
  <c r="F32" i="2"/>
  <c r="G32" i="2"/>
  <c r="H32" i="2"/>
  <c r="I32" i="2"/>
  <c r="J32" i="2"/>
  <c r="K32" i="2"/>
  <c r="L32" i="2"/>
  <c r="M32" i="2"/>
  <c r="N32" i="2"/>
  <c r="O32" i="2"/>
  <c r="P32" i="2"/>
  <c r="Q32" i="2"/>
  <c r="R32" i="2"/>
  <c r="S32" i="2"/>
  <c r="T32" i="2"/>
  <c r="U32" i="2"/>
  <c r="V32" i="2"/>
  <c r="W32" i="2"/>
  <c r="X32" i="2"/>
  <c r="Y32" i="2"/>
  <c r="Z32" i="2"/>
  <c r="AA32" i="2"/>
  <c r="AB32" i="2"/>
  <c r="AC32" i="2"/>
  <c r="AD32" i="2"/>
  <c r="AE32" i="2"/>
  <c r="AF32" i="2"/>
  <c r="AG32" i="2"/>
  <c r="AH32" i="2"/>
  <c r="AI32" i="2"/>
  <c r="AJ32" i="2"/>
  <c r="AK32" i="2"/>
  <c r="AL32" i="2"/>
  <c r="AM32" i="2"/>
  <c r="AN32" i="2"/>
  <c r="AO32" i="2"/>
  <c r="F33" i="2"/>
  <c r="G33" i="2"/>
  <c r="H33" i="2"/>
  <c r="I33" i="2"/>
  <c r="J33" i="2"/>
  <c r="K33" i="2"/>
  <c r="L33" i="2"/>
  <c r="M33" i="2"/>
  <c r="N33" i="2"/>
  <c r="O33" i="2"/>
  <c r="P33" i="2"/>
  <c r="Q33" i="2"/>
  <c r="R33" i="2"/>
  <c r="S33" i="2"/>
  <c r="T33" i="2"/>
  <c r="U33" i="2"/>
  <c r="V33" i="2"/>
  <c r="W33" i="2"/>
  <c r="X33" i="2"/>
  <c r="Y33" i="2"/>
  <c r="Z33" i="2"/>
  <c r="AA33" i="2"/>
  <c r="AB33" i="2"/>
  <c r="AC33" i="2"/>
  <c r="AD33" i="2"/>
  <c r="AE33" i="2"/>
  <c r="AF33" i="2"/>
  <c r="AG33" i="2"/>
  <c r="AH33" i="2"/>
  <c r="AI33" i="2"/>
  <c r="AJ33" i="2"/>
  <c r="AK33" i="2"/>
  <c r="AL33" i="2"/>
  <c r="AM33" i="2"/>
  <c r="AN33" i="2"/>
  <c r="AO33" i="2"/>
  <c r="F34" i="2"/>
  <c r="G34" i="2"/>
  <c r="H34" i="2"/>
  <c r="I34" i="2"/>
  <c r="J34" i="2"/>
  <c r="K34" i="2"/>
  <c r="L34" i="2"/>
  <c r="M34" i="2"/>
  <c r="N34" i="2"/>
  <c r="O34" i="2"/>
  <c r="P34" i="2"/>
  <c r="Q34" i="2"/>
  <c r="R34" i="2"/>
  <c r="S34" i="2"/>
  <c r="T34" i="2"/>
  <c r="U34" i="2"/>
  <c r="V34" i="2"/>
  <c r="W34" i="2"/>
  <c r="X34" i="2"/>
  <c r="Y34" i="2"/>
  <c r="Z34" i="2"/>
  <c r="AA34" i="2"/>
  <c r="AB34" i="2"/>
  <c r="AC34" i="2"/>
  <c r="AD34" i="2"/>
  <c r="AE34" i="2"/>
  <c r="AF34" i="2"/>
  <c r="AG34" i="2"/>
  <c r="AH34" i="2"/>
  <c r="AI34" i="2"/>
  <c r="AJ34" i="2"/>
  <c r="AK34" i="2"/>
  <c r="AL34" i="2"/>
  <c r="AM34" i="2"/>
  <c r="AN34" i="2"/>
  <c r="AO34" i="2"/>
  <c r="F35" i="2"/>
  <c r="G35" i="2"/>
  <c r="H35" i="2"/>
  <c r="I35" i="2"/>
  <c r="J35" i="2"/>
  <c r="K35" i="2"/>
  <c r="L35" i="2"/>
  <c r="M35" i="2"/>
  <c r="N35" i="2"/>
  <c r="O35" i="2"/>
  <c r="P35" i="2"/>
  <c r="Q35" i="2"/>
  <c r="R35" i="2"/>
  <c r="S35" i="2"/>
  <c r="T35" i="2"/>
  <c r="U35" i="2"/>
  <c r="V35" i="2"/>
  <c r="W35" i="2"/>
  <c r="X35" i="2"/>
  <c r="Y35" i="2"/>
  <c r="Z35" i="2"/>
  <c r="AA35" i="2"/>
  <c r="AB35" i="2"/>
  <c r="AC35" i="2"/>
  <c r="AD35" i="2"/>
  <c r="AE35" i="2"/>
  <c r="AF35" i="2"/>
  <c r="AG35" i="2"/>
  <c r="AH35" i="2"/>
  <c r="AI35" i="2"/>
  <c r="AJ35" i="2"/>
  <c r="AK35" i="2"/>
  <c r="AL35" i="2"/>
  <c r="AM35" i="2"/>
  <c r="AN35" i="2"/>
  <c r="AO35" i="2"/>
  <c r="F36" i="2"/>
  <c r="G36" i="2"/>
  <c r="H36" i="2"/>
  <c r="I36" i="2"/>
  <c r="J36" i="2"/>
  <c r="K36" i="2"/>
  <c r="L36" i="2"/>
  <c r="M36" i="2"/>
  <c r="N36" i="2"/>
  <c r="O36" i="2"/>
  <c r="P36" i="2"/>
  <c r="Q36" i="2"/>
  <c r="R36" i="2"/>
  <c r="S36" i="2"/>
  <c r="T36" i="2"/>
  <c r="U36" i="2"/>
  <c r="V36" i="2"/>
  <c r="W36" i="2"/>
  <c r="X36" i="2"/>
  <c r="Y36" i="2"/>
  <c r="Z36" i="2"/>
  <c r="AA36" i="2"/>
  <c r="AB36" i="2"/>
  <c r="AC36" i="2"/>
  <c r="AD36" i="2"/>
  <c r="AE36" i="2"/>
  <c r="AF36" i="2"/>
  <c r="AG36" i="2"/>
  <c r="AH36" i="2"/>
  <c r="AI36" i="2"/>
  <c r="AJ36" i="2"/>
  <c r="AK36" i="2"/>
  <c r="AL36" i="2"/>
  <c r="AM36" i="2"/>
  <c r="AN36" i="2"/>
  <c r="AO36" i="2"/>
  <c r="F37" i="2"/>
  <c r="G37" i="2"/>
  <c r="H37" i="2"/>
  <c r="I37" i="2"/>
  <c r="J37" i="2"/>
  <c r="K37" i="2"/>
  <c r="L37" i="2"/>
  <c r="M37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F38" i="2"/>
  <c r="G38" i="2"/>
  <c r="H38" i="2"/>
  <c r="I38" i="2"/>
  <c r="J38" i="2"/>
  <c r="K38" i="2"/>
  <c r="L38" i="2"/>
  <c r="M38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F39" i="2"/>
  <c r="G39" i="2"/>
  <c r="H39" i="2"/>
  <c r="I39" i="2"/>
  <c r="J39" i="2"/>
  <c r="K39" i="2"/>
  <c r="L39" i="2"/>
  <c r="M39" i="2"/>
  <c r="N39" i="2"/>
  <c r="O39" i="2"/>
  <c r="P39" i="2"/>
  <c r="Q39" i="2"/>
  <c r="R39" i="2"/>
  <c r="S39" i="2"/>
  <c r="T39" i="2"/>
  <c r="U39" i="2"/>
  <c r="V39" i="2"/>
  <c r="W39" i="2"/>
  <c r="X39" i="2"/>
  <c r="Y39" i="2"/>
  <c r="Z39" i="2"/>
  <c r="AA39" i="2"/>
  <c r="AB39" i="2"/>
  <c r="AC39" i="2"/>
  <c r="AD39" i="2"/>
  <c r="AE39" i="2"/>
  <c r="AF39" i="2"/>
  <c r="AG39" i="2"/>
  <c r="AH39" i="2"/>
  <c r="AI39" i="2"/>
  <c r="AJ39" i="2"/>
  <c r="AK39" i="2"/>
  <c r="AL39" i="2"/>
  <c r="AM39" i="2"/>
  <c r="AN39" i="2"/>
  <c r="AO39" i="2"/>
  <c r="F40" i="2"/>
  <c r="G40" i="2"/>
  <c r="H40" i="2"/>
  <c r="I40" i="2"/>
  <c r="J40" i="2"/>
  <c r="K40" i="2"/>
  <c r="L40" i="2"/>
  <c r="M40" i="2"/>
  <c r="N40" i="2"/>
  <c r="O40" i="2"/>
  <c r="P40" i="2"/>
  <c r="Q40" i="2"/>
  <c r="R40" i="2"/>
  <c r="S40" i="2"/>
  <c r="T40" i="2"/>
  <c r="U40" i="2"/>
  <c r="V40" i="2"/>
  <c r="W40" i="2"/>
  <c r="X40" i="2"/>
  <c r="Y40" i="2"/>
  <c r="Z40" i="2"/>
  <c r="AA40" i="2"/>
  <c r="AB40" i="2"/>
  <c r="AC40" i="2"/>
  <c r="AD40" i="2"/>
  <c r="AE40" i="2"/>
  <c r="AF40" i="2"/>
  <c r="AG40" i="2"/>
  <c r="AH40" i="2"/>
  <c r="AI40" i="2"/>
  <c r="AJ40" i="2"/>
  <c r="AK40" i="2"/>
  <c r="AL40" i="2"/>
  <c r="AM40" i="2"/>
  <c r="AN40" i="2"/>
  <c r="AO40" i="2"/>
  <c r="F41" i="2"/>
  <c r="G41" i="2"/>
  <c r="H41" i="2"/>
  <c r="I41" i="2"/>
  <c r="J41" i="2"/>
  <c r="K41" i="2"/>
  <c r="L41" i="2"/>
  <c r="M41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F42" i="2"/>
  <c r="G42" i="2"/>
  <c r="H42" i="2"/>
  <c r="I42" i="2"/>
  <c r="J42" i="2"/>
  <c r="K42" i="2"/>
  <c r="L42" i="2"/>
  <c r="M42" i="2"/>
  <c r="N42" i="2"/>
  <c r="O42" i="2"/>
  <c r="P42" i="2"/>
  <c r="Q42" i="2"/>
  <c r="R42" i="2"/>
  <c r="S42" i="2"/>
  <c r="T42" i="2"/>
  <c r="U42" i="2"/>
  <c r="V42" i="2"/>
  <c r="W42" i="2"/>
  <c r="X42" i="2"/>
  <c r="Y42" i="2"/>
  <c r="Z42" i="2"/>
  <c r="AA42" i="2"/>
  <c r="AB42" i="2"/>
  <c r="AC42" i="2"/>
  <c r="AD42" i="2"/>
  <c r="AE42" i="2"/>
  <c r="AF42" i="2"/>
  <c r="AG42" i="2"/>
  <c r="AH42" i="2"/>
  <c r="AI42" i="2"/>
  <c r="AJ42" i="2"/>
  <c r="AK42" i="2"/>
  <c r="AL42" i="2"/>
  <c r="AM42" i="2"/>
  <c r="AN42" i="2"/>
  <c r="AO42" i="2"/>
  <c r="F43" i="2"/>
  <c r="G43" i="2"/>
  <c r="H43" i="2"/>
  <c r="I43" i="2"/>
  <c r="J43" i="2"/>
  <c r="K43" i="2"/>
  <c r="L43" i="2"/>
  <c r="M43" i="2"/>
  <c r="N43" i="2"/>
  <c r="O43" i="2"/>
  <c r="P43" i="2"/>
  <c r="Q43" i="2"/>
  <c r="R43" i="2"/>
  <c r="S43" i="2"/>
  <c r="T43" i="2"/>
  <c r="U43" i="2"/>
  <c r="V43" i="2"/>
  <c r="W43" i="2"/>
  <c r="X43" i="2"/>
  <c r="Y43" i="2"/>
  <c r="Z43" i="2"/>
  <c r="AA43" i="2"/>
  <c r="AB43" i="2"/>
  <c r="AC43" i="2"/>
  <c r="AD43" i="2"/>
  <c r="AE43" i="2"/>
  <c r="AF43" i="2"/>
  <c r="AG43" i="2"/>
  <c r="AH43" i="2"/>
  <c r="AI43" i="2"/>
  <c r="AJ43" i="2"/>
  <c r="AK43" i="2"/>
  <c r="AL43" i="2"/>
  <c r="AM43" i="2"/>
  <c r="AN43" i="2"/>
  <c r="AO43" i="2"/>
  <c r="F44" i="2"/>
  <c r="G44" i="2"/>
  <c r="H44" i="2"/>
  <c r="I44" i="2"/>
  <c r="J44" i="2"/>
  <c r="K44" i="2"/>
  <c r="L44" i="2"/>
  <c r="M44" i="2"/>
  <c r="N44" i="2"/>
  <c r="O44" i="2"/>
  <c r="P44" i="2"/>
  <c r="Q44" i="2"/>
  <c r="R44" i="2"/>
  <c r="S44" i="2"/>
  <c r="T44" i="2"/>
  <c r="U44" i="2"/>
  <c r="V44" i="2"/>
  <c r="W44" i="2"/>
  <c r="X44" i="2"/>
  <c r="Y44" i="2"/>
  <c r="Z44" i="2"/>
  <c r="AA44" i="2"/>
  <c r="AB44" i="2"/>
  <c r="AC44" i="2"/>
  <c r="AD44" i="2"/>
  <c r="AE44" i="2"/>
  <c r="AF44" i="2"/>
  <c r="AG44" i="2"/>
  <c r="AH44" i="2"/>
  <c r="AI44" i="2"/>
  <c r="AJ44" i="2"/>
  <c r="AK44" i="2"/>
  <c r="AL44" i="2"/>
  <c r="AM44" i="2"/>
  <c r="AN44" i="2"/>
  <c r="AO44" i="2"/>
  <c r="F45" i="2"/>
  <c r="G45" i="2"/>
  <c r="H45" i="2"/>
  <c r="I45" i="2"/>
  <c r="J45" i="2"/>
  <c r="K45" i="2"/>
  <c r="L45" i="2"/>
  <c r="M45" i="2"/>
  <c r="N45" i="2"/>
  <c r="O45" i="2"/>
  <c r="P45" i="2"/>
  <c r="Q45" i="2"/>
  <c r="R45" i="2"/>
  <c r="S45" i="2"/>
  <c r="T45" i="2"/>
  <c r="U45" i="2"/>
  <c r="V45" i="2"/>
  <c r="W45" i="2"/>
  <c r="X45" i="2"/>
  <c r="Y45" i="2"/>
  <c r="Z45" i="2"/>
  <c r="AA45" i="2"/>
  <c r="AB45" i="2"/>
  <c r="AC45" i="2"/>
  <c r="AD45" i="2"/>
  <c r="AE45" i="2"/>
  <c r="AF45" i="2"/>
  <c r="AG45" i="2"/>
  <c r="AH45" i="2"/>
  <c r="AI45" i="2"/>
  <c r="AJ45" i="2"/>
  <c r="AK45" i="2"/>
  <c r="AL45" i="2"/>
  <c r="AM45" i="2"/>
  <c r="AN45" i="2"/>
  <c r="AO45" i="2"/>
  <c r="F46" i="2"/>
  <c r="G46" i="2"/>
  <c r="H46" i="2"/>
  <c r="I46" i="2"/>
  <c r="J46" i="2"/>
  <c r="K46" i="2"/>
  <c r="L46" i="2"/>
  <c r="M46" i="2"/>
  <c r="N46" i="2"/>
  <c r="O46" i="2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AI46" i="2"/>
  <c r="AJ46" i="2"/>
  <c r="AK46" i="2"/>
  <c r="AL46" i="2"/>
  <c r="AM46" i="2"/>
  <c r="AN46" i="2"/>
  <c r="AO46" i="2"/>
  <c r="F47" i="2"/>
  <c r="G47" i="2"/>
  <c r="H47" i="2"/>
  <c r="I47" i="2"/>
  <c r="J47" i="2"/>
  <c r="K47" i="2"/>
  <c r="L47" i="2"/>
  <c r="M47" i="2"/>
  <c r="N47" i="2"/>
  <c r="O47" i="2"/>
  <c r="P47" i="2"/>
  <c r="Q47" i="2"/>
  <c r="R47" i="2"/>
  <c r="S47" i="2"/>
  <c r="T47" i="2"/>
  <c r="U47" i="2"/>
  <c r="V47" i="2"/>
  <c r="W47" i="2"/>
  <c r="X47" i="2"/>
  <c r="Y47" i="2"/>
  <c r="Z47" i="2"/>
  <c r="AA47" i="2"/>
  <c r="AB47" i="2"/>
  <c r="AC47" i="2"/>
  <c r="AD47" i="2"/>
  <c r="AE47" i="2"/>
  <c r="AF47" i="2"/>
  <c r="AG47" i="2"/>
  <c r="AH47" i="2"/>
  <c r="AI47" i="2"/>
  <c r="AJ47" i="2"/>
  <c r="AK47" i="2"/>
  <c r="AL47" i="2"/>
  <c r="AM47" i="2"/>
  <c r="AN47" i="2"/>
  <c r="AO47" i="2"/>
  <c r="F48" i="2"/>
  <c r="G48" i="2"/>
  <c r="H48" i="2"/>
  <c r="I48" i="2"/>
  <c r="J48" i="2"/>
  <c r="K48" i="2"/>
  <c r="L48" i="2"/>
  <c r="M48" i="2"/>
  <c r="N48" i="2"/>
  <c r="O48" i="2"/>
  <c r="P48" i="2"/>
  <c r="Q48" i="2"/>
  <c r="R48" i="2"/>
  <c r="S48" i="2"/>
  <c r="T48" i="2"/>
  <c r="U48" i="2"/>
  <c r="V48" i="2"/>
  <c r="W48" i="2"/>
  <c r="X48" i="2"/>
  <c r="Y48" i="2"/>
  <c r="Z48" i="2"/>
  <c r="AA48" i="2"/>
  <c r="AB48" i="2"/>
  <c r="AC48" i="2"/>
  <c r="AD48" i="2"/>
  <c r="AE48" i="2"/>
  <c r="AF48" i="2"/>
  <c r="AG48" i="2"/>
  <c r="AH48" i="2"/>
  <c r="AI48" i="2"/>
  <c r="AJ48" i="2"/>
  <c r="AK48" i="2"/>
  <c r="AL48" i="2"/>
  <c r="AM48" i="2"/>
  <c r="AN48" i="2"/>
  <c r="AO48" i="2"/>
  <c r="F49" i="2"/>
  <c r="G49" i="2"/>
  <c r="H49" i="2"/>
  <c r="I49" i="2"/>
  <c r="J49" i="2"/>
  <c r="K49" i="2"/>
  <c r="L49" i="2"/>
  <c r="M49" i="2"/>
  <c r="N49" i="2"/>
  <c r="O49" i="2"/>
  <c r="P49" i="2"/>
  <c r="Q49" i="2"/>
  <c r="R49" i="2"/>
  <c r="S49" i="2"/>
  <c r="T49" i="2"/>
  <c r="U49" i="2"/>
  <c r="V49" i="2"/>
  <c r="W49" i="2"/>
  <c r="X49" i="2"/>
  <c r="Y49" i="2"/>
  <c r="Z49" i="2"/>
  <c r="AA49" i="2"/>
  <c r="AB49" i="2"/>
  <c r="AC49" i="2"/>
  <c r="AD49" i="2"/>
  <c r="AE49" i="2"/>
  <c r="AF49" i="2"/>
  <c r="AG49" i="2"/>
  <c r="AH49" i="2"/>
  <c r="AI49" i="2"/>
  <c r="AJ49" i="2"/>
  <c r="AK49" i="2"/>
  <c r="AL49" i="2"/>
  <c r="AM49" i="2"/>
  <c r="AN49" i="2"/>
  <c r="AO49" i="2"/>
  <c r="F50" i="2"/>
  <c r="G50" i="2"/>
  <c r="H50" i="2"/>
  <c r="I50" i="2"/>
  <c r="J50" i="2"/>
  <c r="K50" i="2"/>
  <c r="L50" i="2"/>
  <c r="M50" i="2"/>
  <c r="N50" i="2"/>
  <c r="O50" i="2"/>
  <c r="P50" i="2"/>
  <c r="Q50" i="2"/>
  <c r="R50" i="2"/>
  <c r="S50" i="2"/>
  <c r="T50" i="2"/>
  <c r="U50" i="2"/>
  <c r="V50" i="2"/>
  <c r="W50" i="2"/>
  <c r="X50" i="2"/>
  <c r="Y50" i="2"/>
  <c r="Z50" i="2"/>
  <c r="AA50" i="2"/>
  <c r="AB50" i="2"/>
  <c r="AC50" i="2"/>
  <c r="AD50" i="2"/>
  <c r="AE50" i="2"/>
  <c r="AF50" i="2"/>
  <c r="AG50" i="2"/>
  <c r="AH50" i="2"/>
  <c r="AI50" i="2"/>
  <c r="AJ50" i="2"/>
  <c r="AK50" i="2"/>
  <c r="AL50" i="2"/>
  <c r="AM50" i="2"/>
  <c r="AN50" i="2"/>
  <c r="AO50" i="2"/>
  <c r="F51" i="2"/>
  <c r="G51" i="2"/>
  <c r="H51" i="2"/>
  <c r="I51" i="2"/>
  <c r="J51" i="2"/>
  <c r="K51" i="2"/>
  <c r="L51" i="2"/>
  <c r="M51" i="2"/>
  <c r="N51" i="2"/>
  <c r="O51" i="2"/>
  <c r="P51" i="2"/>
  <c r="Q51" i="2"/>
  <c r="R51" i="2"/>
  <c r="S51" i="2"/>
  <c r="T51" i="2"/>
  <c r="U51" i="2"/>
  <c r="V51" i="2"/>
  <c r="W51" i="2"/>
  <c r="X51" i="2"/>
  <c r="Y51" i="2"/>
  <c r="Z51" i="2"/>
  <c r="AA51" i="2"/>
  <c r="AB51" i="2"/>
  <c r="AC51" i="2"/>
  <c r="AD51" i="2"/>
  <c r="AE51" i="2"/>
  <c r="AF51" i="2"/>
  <c r="AG51" i="2"/>
  <c r="AH51" i="2"/>
  <c r="AI51" i="2"/>
  <c r="AJ51" i="2"/>
  <c r="AK51" i="2"/>
  <c r="AL51" i="2"/>
  <c r="AM51" i="2"/>
  <c r="AN51" i="2"/>
  <c r="AO51" i="2"/>
  <c r="F52" i="2"/>
  <c r="G52" i="2"/>
  <c r="H52" i="2"/>
  <c r="I52" i="2"/>
  <c r="J52" i="2"/>
  <c r="K52" i="2"/>
  <c r="L52" i="2"/>
  <c r="M52" i="2"/>
  <c r="N52" i="2"/>
  <c r="O52" i="2"/>
  <c r="P52" i="2"/>
  <c r="Q52" i="2"/>
  <c r="R52" i="2"/>
  <c r="S52" i="2"/>
  <c r="T52" i="2"/>
  <c r="U52" i="2"/>
  <c r="V52" i="2"/>
  <c r="W52" i="2"/>
  <c r="X52" i="2"/>
  <c r="Y52" i="2"/>
  <c r="Z52" i="2"/>
  <c r="AA52" i="2"/>
  <c r="AB52" i="2"/>
  <c r="AC52" i="2"/>
  <c r="AD52" i="2"/>
  <c r="AE52" i="2"/>
  <c r="AF52" i="2"/>
  <c r="AG52" i="2"/>
  <c r="AH52" i="2"/>
  <c r="AI52" i="2"/>
  <c r="AJ52" i="2"/>
  <c r="AK52" i="2"/>
  <c r="AL52" i="2"/>
  <c r="AM52" i="2"/>
  <c r="AN52" i="2"/>
  <c r="AO52" i="2"/>
  <c r="F53" i="2"/>
  <c r="G53" i="2"/>
  <c r="H53" i="2"/>
  <c r="I53" i="2"/>
  <c r="J53" i="2"/>
  <c r="K53" i="2"/>
  <c r="L53" i="2"/>
  <c r="M53" i="2"/>
  <c r="N53" i="2"/>
  <c r="O53" i="2"/>
  <c r="P53" i="2"/>
  <c r="Q53" i="2"/>
  <c r="R53" i="2"/>
  <c r="S53" i="2"/>
  <c r="T53" i="2"/>
  <c r="U53" i="2"/>
  <c r="V53" i="2"/>
  <c r="W53" i="2"/>
  <c r="X53" i="2"/>
  <c r="Y53" i="2"/>
  <c r="Z53" i="2"/>
  <c r="AA53" i="2"/>
  <c r="AB53" i="2"/>
  <c r="AC53" i="2"/>
  <c r="AD53" i="2"/>
  <c r="AE53" i="2"/>
  <c r="AF53" i="2"/>
  <c r="AG53" i="2"/>
  <c r="AH53" i="2"/>
  <c r="AI53" i="2"/>
  <c r="AJ53" i="2"/>
  <c r="AK53" i="2"/>
  <c r="AL53" i="2"/>
  <c r="AM53" i="2"/>
  <c r="AN53" i="2"/>
  <c r="AO53" i="2"/>
  <c r="F54" i="2"/>
  <c r="G54" i="2"/>
  <c r="H54" i="2"/>
  <c r="I54" i="2"/>
  <c r="J54" i="2"/>
  <c r="K54" i="2"/>
  <c r="L54" i="2"/>
  <c r="M54" i="2"/>
  <c r="N54" i="2"/>
  <c r="O54" i="2"/>
  <c r="P54" i="2"/>
  <c r="Q54" i="2"/>
  <c r="R54" i="2"/>
  <c r="S54" i="2"/>
  <c r="T54" i="2"/>
  <c r="U54" i="2"/>
  <c r="V54" i="2"/>
  <c r="W54" i="2"/>
  <c r="X54" i="2"/>
  <c r="Y54" i="2"/>
  <c r="Z54" i="2"/>
  <c r="AA54" i="2"/>
  <c r="AB54" i="2"/>
  <c r="AC54" i="2"/>
  <c r="AD54" i="2"/>
  <c r="AE54" i="2"/>
  <c r="AF54" i="2"/>
  <c r="AG54" i="2"/>
  <c r="AH54" i="2"/>
  <c r="AI54" i="2"/>
  <c r="AJ54" i="2"/>
  <c r="AK54" i="2"/>
  <c r="AL54" i="2"/>
  <c r="AM54" i="2"/>
  <c r="AN54" i="2"/>
  <c r="AO54" i="2"/>
  <c r="F55" i="2"/>
  <c r="G55" i="2"/>
  <c r="H55" i="2"/>
  <c r="I55" i="2"/>
  <c r="J55" i="2"/>
  <c r="K55" i="2"/>
  <c r="L55" i="2"/>
  <c r="M55" i="2"/>
  <c r="N55" i="2"/>
  <c r="O55" i="2"/>
  <c r="P55" i="2"/>
  <c r="Q55" i="2"/>
  <c r="R55" i="2"/>
  <c r="S55" i="2"/>
  <c r="T55" i="2"/>
  <c r="U55" i="2"/>
  <c r="V55" i="2"/>
  <c r="W55" i="2"/>
  <c r="X55" i="2"/>
  <c r="Y55" i="2"/>
  <c r="Z55" i="2"/>
  <c r="AA55" i="2"/>
  <c r="AB55" i="2"/>
  <c r="AC55" i="2"/>
  <c r="AD55" i="2"/>
  <c r="AE55" i="2"/>
  <c r="AF55" i="2"/>
  <c r="AG55" i="2"/>
  <c r="AH55" i="2"/>
  <c r="AI55" i="2"/>
  <c r="AJ55" i="2"/>
  <c r="AK55" i="2"/>
  <c r="AL55" i="2"/>
  <c r="AM55" i="2"/>
  <c r="AN55" i="2"/>
  <c r="AO55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AG57" i="2"/>
  <c r="AH57" i="2"/>
  <c r="AI57" i="2"/>
  <c r="AJ57" i="2"/>
  <c r="AK57" i="2"/>
  <c r="AL57" i="2"/>
  <c r="AM57" i="2"/>
  <c r="AN57" i="2"/>
  <c r="AO57" i="2"/>
  <c r="F58" i="2"/>
  <c r="G58" i="2"/>
  <c r="H58" i="2"/>
  <c r="I58" i="2"/>
  <c r="J58" i="2"/>
  <c r="K58" i="2"/>
  <c r="L58" i="2"/>
  <c r="M58" i="2"/>
  <c r="N58" i="2"/>
  <c r="O58" i="2"/>
  <c r="P58" i="2"/>
  <c r="Q58" i="2"/>
  <c r="R58" i="2"/>
  <c r="S58" i="2"/>
  <c r="T58" i="2"/>
  <c r="U58" i="2"/>
  <c r="V58" i="2"/>
  <c r="W58" i="2"/>
  <c r="X58" i="2"/>
  <c r="Y58" i="2"/>
  <c r="Z58" i="2"/>
  <c r="AA58" i="2"/>
  <c r="AB58" i="2"/>
  <c r="AC58" i="2"/>
  <c r="AD58" i="2"/>
  <c r="AE58" i="2"/>
  <c r="AF58" i="2"/>
  <c r="AG58" i="2"/>
  <c r="AH58" i="2"/>
  <c r="AI58" i="2"/>
  <c r="AJ58" i="2"/>
  <c r="AK58" i="2"/>
  <c r="AL58" i="2"/>
  <c r="AM58" i="2"/>
  <c r="AN58" i="2"/>
  <c r="AO58" i="2"/>
  <c r="F59" i="2"/>
  <c r="G59" i="2"/>
  <c r="H59" i="2"/>
  <c r="I59" i="2"/>
  <c r="J59" i="2"/>
  <c r="K59" i="2"/>
  <c r="L59" i="2"/>
  <c r="M59" i="2"/>
  <c r="N59" i="2"/>
  <c r="O59" i="2"/>
  <c r="P59" i="2"/>
  <c r="Q59" i="2"/>
  <c r="R59" i="2"/>
  <c r="S59" i="2"/>
  <c r="T59" i="2"/>
  <c r="U59" i="2"/>
  <c r="V59" i="2"/>
  <c r="W59" i="2"/>
  <c r="X59" i="2"/>
  <c r="Y59" i="2"/>
  <c r="Z59" i="2"/>
  <c r="AA59" i="2"/>
  <c r="AB59" i="2"/>
  <c r="AC59" i="2"/>
  <c r="AD59" i="2"/>
  <c r="AE59" i="2"/>
  <c r="AF59" i="2"/>
  <c r="AG59" i="2"/>
  <c r="AH59" i="2"/>
  <c r="AI59" i="2"/>
  <c r="AJ59" i="2"/>
  <c r="AK59" i="2"/>
  <c r="AL59" i="2"/>
  <c r="AM59" i="2"/>
  <c r="AN59" i="2"/>
  <c r="AO59" i="2"/>
  <c r="F60" i="2"/>
  <c r="G60" i="2"/>
  <c r="H60" i="2"/>
  <c r="I60" i="2"/>
  <c r="J60" i="2"/>
  <c r="K60" i="2"/>
  <c r="L60" i="2"/>
  <c r="M60" i="2"/>
  <c r="N60" i="2"/>
  <c r="O60" i="2"/>
  <c r="P60" i="2"/>
  <c r="Q60" i="2"/>
  <c r="R60" i="2"/>
  <c r="S60" i="2"/>
  <c r="T60" i="2"/>
  <c r="U60" i="2"/>
  <c r="V60" i="2"/>
  <c r="W60" i="2"/>
  <c r="X60" i="2"/>
  <c r="Y60" i="2"/>
  <c r="Z60" i="2"/>
  <c r="AA60" i="2"/>
  <c r="AB60" i="2"/>
  <c r="AC60" i="2"/>
  <c r="AD60" i="2"/>
  <c r="AE60" i="2"/>
  <c r="AF60" i="2"/>
  <c r="AG60" i="2"/>
  <c r="AH60" i="2"/>
  <c r="AI60" i="2"/>
  <c r="AJ60" i="2"/>
  <c r="AK60" i="2"/>
  <c r="AL60" i="2"/>
  <c r="AM60" i="2"/>
  <c r="AN60" i="2"/>
  <c r="AO60" i="2"/>
  <c r="F61" i="2"/>
  <c r="G61" i="2"/>
  <c r="H61" i="2"/>
  <c r="I61" i="2"/>
  <c r="J61" i="2"/>
  <c r="K61" i="2"/>
  <c r="L61" i="2"/>
  <c r="M61" i="2"/>
  <c r="N61" i="2"/>
  <c r="O61" i="2"/>
  <c r="P61" i="2"/>
  <c r="Q61" i="2"/>
  <c r="R61" i="2"/>
  <c r="S61" i="2"/>
  <c r="T61" i="2"/>
  <c r="U61" i="2"/>
  <c r="V61" i="2"/>
  <c r="W61" i="2"/>
  <c r="X61" i="2"/>
  <c r="Y61" i="2"/>
  <c r="Z61" i="2"/>
  <c r="AA61" i="2"/>
  <c r="AB61" i="2"/>
  <c r="AC61" i="2"/>
  <c r="AD61" i="2"/>
  <c r="AE61" i="2"/>
  <c r="AF61" i="2"/>
  <c r="AG61" i="2"/>
  <c r="AH61" i="2"/>
  <c r="AI61" i="2"/>
  <c r="AJ61" i="2"/>
  <c r="AK61" i="2"/>
  <c r="AL61" i="2"/>
  <c r="AM61" i="2"/>
  <c r="AN61" i="2"/>
  <c r="AO61" i="2"/>
  <c r="F62" i="2"/>
  <c r="G62" i="2"/>
  <c r="H62" i="2"/>
  <c r="I62" i="2"/>
  <c r="J62" i="2"/>
  <c r="K62" i="2"/>
  <c r="L62" i="2"/>
  <c r="M62" i="2"/>
  <c r="N62" i="2"/>
  <c r="O62" i="2"/>
  <c r="P62" i="2"/>
  <c r="Q62" i="2"/>
  <c r="R62" i="2"/>
  <c r="S62" i="2"/>
  <c r="T62" i="2"/>
  <c r="U62" i="2"/>
  <c r="V62" i="2"/>
  <c r="W62" i="2"/>
  <c r="X62" i="2"/>
  <c r="Y62" i="2"/>
  <c r="Z62" i="2"/>
  <c r="AA62" i="2"/>
  <c r="AB62" i="2"/>
  <c r="AC62" i="2"/>
  <c r="AD62" i="2"/>
  <c r="AE62" i="2"/>
  <c r="AF62" i="2"/>
  <c r="AG62" i="2"/>
  <c r="AH62" i="2"/>
  <c r="AI62" i="2"/>
  <c r="AJ62" i="2"/>
  <c r="AK62" i="2"/>
  <c r="AL62" i="2"/>
  <c r="AM62" i="2"/>
  <c r="AN62" i="2"/>
  <c r="AO62" i="2"/>
  <c r="F63" i="2"/>
  <c r="G63" i="2"/>
  <c r="H63" i="2"/>
  <c r="I63" i="2"/>
  <c r="J63" i="2"/>
  <c r="K63" i="2"/>
  <c r="L63" i="2"/>
  <c r="M63" i="2"/>
  <c r="N63" i="2"/>
  <c r="O63" i="2"/>
  <c r="P63" i="2"/>
  <c r="Q63" i="2"/>
  <c r="R63" i="2"/>
  <c r="S63" i="2"/>
  <c r="T63" i="2"/>
  <c r="U63" i="2"/>
  <c r="V63" i="2"/>
  <c r="W63" i="2"/>
  <c r="X63" i="2"/>
  <c r="Y63" i="2"/>
  <c r="Z63" i="2"/>
  <c r="AA63" i="2"/>
  <c r="AB63" i="2"/>
  <c r="AC63" i="2"/>
  <c r="AD63" i="2"/>
  <c r="AE63" i="2"/>
  <c r="AF63" i="2"/>
  <c r="AG63" i="2"/>
  <c r="AH63" i="2"/>
  <c r="AI63" i="2"/>
  <c r="AJ63" i="2"/>
  <c r="AK63" i="2"/>
  <c r="AL63" i="2"/>
  <c r="AM63" i="2"/>
  <c r="AN63" i="2"/>
  <c r="AO63" i="2"/>
  <c r="F64" i="2"/>
  <c r="G64" i="2"/>
  <c r="H64" i="2"/>
  <c r="I64" i="2"/>
  <c r="J64" i="2"/>
  <c r="K64" i="2"/>
  <c r="L64" i="2"/>
  <c r="M64" i="2"/>
  <c r="N64" i="2"/>
  <c r="O64" i="2"/>
  <c r="P64" i="2"/>
  <c r="Q64" i="2"/>
  <c r="R64" i="2"/>
  <c r="S64" i="2"/>
  <c r="T64" i="2"/>
  <c r="U64" i="2"/>
  <c r="V64" i="2"/>
  <c r="W64" i="2"/>
  <c r="X64" i="2"/>
  <c r="Y64" i="2"/>
  <c r="Z64" i="2"/>
  <c r="AA64" i="2"/>
  <c r="AB64" i="2"/>
  <c r="AC64" i="2"/>
  <c r="AD64" i="2"/>
  <c r="AE64" i="2"/>
  <c r="AF64" i="2"/>
  <c r="AG64" i="2"/>
  <c r="AH64" i="2"/>
  <c r="AI64" i="2"/>
  <c r="AJ64" i="2"/>
  <c r="AK64" i="2"/>
  <c r="AL64" i="2"/>
  <c r="AM64" i="2"/>
  <c r="AN64" i="2"/>
  <c r="AO64" i="2"/>
  <c r="F65" i="2"/>
  <c r="G65" i="2"/>
  <c r="H65" i="2"/>
  <c r="I65" i="2"/>
  <c r="J65" i="2"/>
  <c r="K65" i="2"/>
  <c r="L65" i="2"/>
  <c r="M65" i="2"/>
  <c r="N65" i="2"/>
  <c r="O65" i="2"/>
  <c r="P65" i="2"/>
  <c r="Q65" i="2"/>
  <c r="R65" i="2"/>
  <c r="S65" i="2"/>
  <c r="T65" i="2"/>
  <c r="U65" i="2"/>
  <c r="V65" i="2"/>
  <c r="W65" i="2"/>
  <c r="X65" i="2"/>
  <c r="Y65" i="2"/>
  <c r="Z65" i="2"/>
  <c r="AA65" i="2"/>
  <c r="AB65" i="2"/>
  <c r="AC65" i="2"/>
  <c r="AD65" i="2"/>
  <c r="AE65" i="2"/>
  <c r="AF65" i="2"/>
  <c r="AG65" i="2"/>
  <c r="AH65" i="2"/>
  <c r="AI65" i="2"/>
  <c r="AJ65" i="2"/>
  <c r="AK65" i="2"/>
  <c r="AL65" i="2"/>
  <c r="AM65" i="2"/>
  <c r="AN65" i="2"/>
  <c r="AO65" i="2"/>
  <c r="F66" i="2"/>
  <c r="G66" i="2"/>
  <c r="H66" i="2"/>
  <c r="I66" i="2"/>
  <c r="J66" i="2"/>
  <c r="K66" i="2"/>
  <c r="L66" i="2"/>
  <c r="M66" i="2"/>
  <c r="N66" i="2"/>
  <c r="O66" i="2"/>
  <c r="P66" i="2"/>
  <c r="Q66" i="2"/>
  <c r="R66" i="2"/>
  <c r="S66" i="2"/>
  <c r="T66" i="2"/>
  <c r="U66" i="2"/>
  <c r="V66" i="2"/>
  <c r="W66" i="2"/>
  <c r="X66" i="2"/>
  <c r="Y66" i="2"/>
  <c r="Z66" i="2"/>
  <c r="AA66" i="2"/>
  <c r="AB66" i="2"/>
  <c r="AC66" i="2"/>
  <c r="AD66" i="2"/>
  <c r="AE66" i="2"/>
  <c r="AF66" i="2"/>
  <c r="AG66" i="2"/>
  <c r="AH66" i="2"/>
  <c r="AI66" i="2"/>
  <c r="AJ66" i="2"/>
  <c r="AK66" i="2"/>
  <c r="AL66" i="2"/>
  <c r="AM66" i="2"/>
  <c r="AN66" i="2"/>
  <c r="AO66" i="2"/>
  <c r="F67" i="2"/>
  <c r="G67" i="2"/>
  <c r="H67" i="2"/>
  <c r="I67" i="2"/>
  <c r="J67" i="2"/>
  <c r="K67" i="2"/>
  <c r="L67" i="2"/>
  <c r="M67" i="2"/>
  <c r="N67" i="2"/>
  <c r="O67" i="2"/>
  <c r="P67" i="2"/>
  <c r="Q67" i="2"/>
  <c r="R67" i="2"/>
  <c r="S67" i="2"/>
  <c r="T67" i="2"/>
  <c r="U67" i="2"/>
  <c r="V67" i="2"/>
  <c r="W67" i="2"/>
  <c r="X67" i="2"/>
  <c r="Y67" i="2"/>
  <c r="Z67" i="2"/>
  <c r="AA67" i="2"/>
  <c r="AB67" i="2"/>
  <c r="AC67" i="2"/>
  <c r="AD67" i="2"/>
  <c r="AE67" i="2"/>
  <c r="AF67" i="2"/>
  <c r="AG67" i="2"/>
  <c r="AH67" i="2"/>
  <c r="AI67" i="2"/>
  <c r="AJ67" i="2"/>
  <c r="AK67" i="2"/>
  <c r="AL67" i="2"/>
  <c r="AM67" i="2"/>
  <c r="AN67" i="2"/>
  <c r="AO67" i="2"/>
  <c r="F68" i="2"/>
  <c r="G68" i="2"/>
  <c r="H68" i="2"/>
  <c r="I68" i="2"/>
  <c r="J68" i="2"/>
  <c r="K68" i="2"/>
  <c r="L68" i="2"/>
  <c r="M68" i="2"/>
  <c r="N68" i="2"/>
  <c r="O68" i="2"/>
  <c r="P68" i="2"/>
  <c r="Q68" i="2"/>
  <c r="R68" i="2"/>
  <c r="S68" i="2"/>
  <c r="T68" i="2"/>
  <c r="U68" i="2"/>
  <c r="V68" i="2"/>
  <c r="W68" i="2"/>
  <c r="X68" i="2"/>
  <c r="Y68" i="2"/>
  <c r="Z68" i="2"/>
  <c r="AA68" i="2"/>
  <c r="AB68" i="2"/>
  <c r="AC68" i="2"/>
  <c r="AD68" i="2"/>
  <c r="AE68" i="2"/>
  <c r="AF68" i="2"/>
  <c r="AG68" i="2"/>
  <c r="AH68" i="2"/>
  <c r="AI68" i="2"/>
  <c r="AJ68" i="2"/>
  <c r="AK68" i="2"/>
  <c r="AL68" i="2"/>
  <c r="AM68" i="2"/>
  <c r="AN68" i="2"/>
  <c r="AO68" i="2"/>
  <c r="F69" i="2"/>
  <c r="G69" i="2"/>
  <c r="H69" i="2"/>
  <c r="I69" i="2"/>
  <c r="J69" i="2"/>
  <c r="K69" i="2"/>
  <c r="L69" i="2"/>
  <c r="M69" i="2"/>
  <c r="N69" i="2"/>
  <c r="O69" i="2"/>
  <c r="P69" i="2"/>
  <c r="Q69" i="2"/>
  <c r="R69" i="2"/>
  <c r="S69" i="2"/>
  <c r="T69" i="2"/>
  <c r="U69" i="2"/>
  <c r="V69" i="2"/>
  <c r="W69" i="2"/>
  <c r="X69" i="2"/>
  <c r="Y69" i="2"/>
  <c r="Z69" i="2"/>
  <c r="AA69" i="2"/>
  <c r="AB69" i="2"/>
  <c r="AC69" i="2"/>
  <c r="AD69" i="2"/>
  <c r="AE69" i="2"/>
  <c r="AF69" i="2"/>
  <c r="AG69" i="2"/>
  <c r="AH69" i="2"/>
  <c r="AI69" i="2"/>
  <c r="AJ69" i="2"/>
  <c r="AK69" i="2"/>
  <c r="AL69" i="2"/>
  <c r="AM69" i="2"/>
  <c r="AN69" i="2"/>
  <c r="AO69" i="2"/>
  <c r="F70" i="2"/>
  <c r="G70" i="2"/>
  <c r="H70" i="2"/>
  <c r="I70" i="2"/>
  <c r="J70" i="2"/>
  <c r="K70" i="2"/>
  <c r="L70" i="2"/>
  <c r="M70" i="2"/>
  <c r="N70" i="2"/>
  <c r="O70" i="2"/>
  <c r="P70" i="2"/>
  <c r="Q70" i="2"/>
  <c r="R70" i="2"/>
  <c r="S70" i="2"/>
  <c r="T70" i="2"/>
  <c r="U70" i="2"/>
  <c r="V70" i="2"/>
  <c r="W70" i="2"/>
  <c r="X70" i="2"/>
  <c r="Y70" i="2"/>
  <c r="Z70" i="2"/>
  <c r="AA70" i="2"/>
  <c r="AB70" i="2"/>
  <c r="AC70" i="2"/>
  <c r="AD70" i="2"/>
  <c r="AE70" i="2"/>
  <c r="AF70" i="2"/>
  <c r="AG70" i="2"/>
  <c r="AH70" i="2"/>
  <c r="AI70" i="2"/>
  <c r="AJ70" i="2"/>
  <c r="AK70" i="2"/>
  <c r="AL70" i="2"/>
  <c r="AM70" i="2"/>
  <c r="AN70" i="2"/>
  <c r="AO70" i="2"/>
  <c r="F71" i="2"/>
  <c r="G71" i="2"/>
  <c r="H71" i="2"/>
  <c r="I71" i="2"/>
  <c r="J71" i="2"/>
  <c r="K71" i="2"/>
  <c r="L71" i="2"/>
  <c r="M71" i="2"/>
  <c r="N71" i="2"/>
  <c r="O71" i="2"/>
  <c r="P71" i="2"/>
  <c r="Q71" i="2"/>
  <c r="R71" i="2"/>
  <c r="S71" i="2"/>
  <c r="T71" i="2"/>
  <c r="U71" i="2"/>
  <c r="V71" i="2"/>
  <c r="W71" i="2"/>
  <c r="X71" i="2"/>
  <c r="Y71" i="2"/>
  <c r="Z71" i="2"/>
  <c r="AA71" i="2"/>
  <c r="AB71" i="2"/>
  <c r="AC71" i="2"/>
  <c r="AD71" i="2"/>
  <c r="AE71" i="2"/>
  <c r="AF71" i="2"/>
  <c r="AG71" i="2"/>
  <c r="AH71" i="2"/>
  <c r="AI71" i="2"/>
  <c r="AJ71" i="2"/>
  <c r="AK71" i="2"/>
  <c r="AL71" i="2"/>
  <c r="AM71" i="2"/>
  <c r="AN71" i="2"/>
  <c r="AO71" i="2"/>
  <c r="F72" i="2"/>
  <c r="G72" i="2"/>
  <c r="H72" i="2"/>
  <c r="I72" i="2"/>
  <c r="J72" i="2"/>
  <c r="K72" i="2"/>
  <c r="L72" i="2"/>
  <c r="M72" i="2"/>
  <c r="N72" i="2"/>
  <c r="O72" i="2"/>
  <c r="P72" i="2"/>
  <c r="Q72" i="2"/>
  <c r="R72" i="2"/>
  <c r="S72" i="2"/>
  <c r="T72" i="2"/>
  <c r="U72" i="2"/>
  <c r="V72" i="2"/>
  <c r="W72" i="2"/>
  <c r="X72" i="2"/>
  <c r="Y72" i="2"/>
  <c r="Z72" i="2"/>
  <c r="AA72" i="2"/>
  <c r="AB72" i="2"/>
  <c r="AC72" i="2"/>
  <c r="AD72" i="2"/>
  <c r="AE72" i="2"/>
  <c r="AF72" i="2"/>
  <c r="AG72" i="2"/>
  <c r="AH72" i="2"/>
  <c r="AI72" i="2"/>
  <c r="AJ72" i="2"/>
  <c r="AK72" i="2"/>
  <c r="AL72" i="2"/>
  <c r="AM72" i="2"/>
  <c r="AN72" i="2"/>
  <c r="AO72" i="2"/>
  <c r="F73" i="2"/>
  <c r="G73" i="2"/>
  <c r="H73" i="2"/>
  <c r="I73" i="2"/>
  <c r="J73" i="2"/>
  <c r="K73" i="2"/>
  <c r="L73" i="2"/>
  <c r="M73" i="2"/>
  <c r="N73" i="2"/>
  <c r="O73" i="2"/>
  <c r="P73" i="2"/>
  <c r="Q73" i="2"/>
  <c r="R73" i="2"/>
  <c r="S73" i="2"/>
  <c r="T73" i="2"/>
  <c r="U73" i="2"/>
  <c r="V73" i="2"/>
  <c r="W73" i="2"/>
  <c r="X73" i="2"/>
  <c r="Y73" i="2"/>
  <c r="Z73" i="2"/>
  <c r="AA73" i="2"/>
  <c r="AB73" i="2"/>
  <c r="AC73" i="2"/>
  <c r="AD73" i="2"/>
  <c r="AE73" i="2"/>
  <c r="AF73" i="2"/>
  <c r="AG73" i="2"/>
  <c r="AH73" i="2"/>
  <c r="AI73" i="2"/>
  <c r="AJ73" i="2"/>
  <c r="AK73" i="2"/>
  <c r="AL73" i="2"/>
  <c r="AM73" i="2"/>
  <c r="AN73" i="2"/>
  <c r="AO73" i="2"/>
  <c r="F74" i="2"/>
  <c r="G74" i="2"/>
  <c r="H74" i="2"/>
  <c r="I74" i="2"/>
  <c r="J74" i="2"/>
  <c r="K74" i="2"/>
  <c r="L74" i="2"/>
  <c r="M74" i="2"/>
  <c r="N74" i="2"/>
  <c r="O74" i="2"/>
  <c r="P74" i="2"/>
  <c r="Q74" i="2"/>
  <c r="R74" i="2"/>
  <c r="S74" i="2"/>
  <c r="T74" i="2"/>
  <c r="U74" i="2"/>
  <c r="V74" i="2"/>
  <c r="W74" i="2"/>
  <c r="X74" i="2"/>
  <c r="Y74" i="2"/>
  <c r="Z74" i="2"/>
  <c r="AA74" i="2"/>
  <c r="AB74" i="2"/>
  <c r="AC74" i="2"/>
  <c r="AD74" i="2"/>
  <c r="AE74" i="2"/>
  <c r="AF74" i="2"/>
  <c r="AG74" i="2"/>
  <c r="AH74" i="2"/>
  <c r="AI74" i="2"/>
  <c r="AJ74" i="2"/>
  <c r="AK74" i="2"/>
  <c r="AL74" i="2"/>
  <c r="AM74" i="2"/>
  <c r="AN74" i="2"/>
  <c r="AO74" i="2"/>
  <c r="F75" i="2"/>
  <c r="G75" i="2"/>
  <c r="H75" i="2"/>
  <c r="I75" i="2"/>
  <c r="J75" i="2"/>
  <c r="K75" i="2"/>
  <c r="L75" i="2"/>
  <c r="M75" i="2"/>
  <c r="N75" i="2"/>
  <c r="O75" i="2"/>
  <c r="P75" i="2"/>
  <c r="Q75" i="2"/>
  <c r="R75" i="2"/>
  <c r="S75" i="2"/>
  <c r="T75" i="2"/>
  <c r="U75" i="2"/>
  <c r="V75" i="2"/>
  <c r="W75" i="2"/>
  <c r="X75" i="2"/>
  <c r="Y75" i="2"/>
  <c r="Z75" i="2"/>
  <c r="AA75" i="2"/>
  <c r="AB75" i="2"/>
  <c r="AC75" i="2"/>
  <c r="AD75" i="2"/>
  <c r="AE75" i="2"/>
  <c r="AF75" i="2"/>
  <c r="AG75" i="2"/>
  <c r="AH75" i="2"/>
  <c r="AI75" i="2"/>
  <c r="AJ75" i="2"/>
  <c r="AK75" i="2"/>
  <c r="AL75" i="2"/>
  <c r="AM75" i="2"/>
  <c r="AN75" i="2"/>
  <c r="AO75" i="2"/>
  <c r="F76" i="2"/>
  <c r="G76" i="2"/>
  <c r="H76" i="2"/>
  <c r="I76" i="2"/>
  <c r="J76" i="2"/>
  <c r="K76" i="2"/>
  <c r="L76" i="2"/>
  <c r="M76" i="2"/>
  <c r="N76" i="2"/>
  <c r="O76" i="2"/>
  <c r="P76" i="2"/>
  <c r="Q76" i="2"/>
  <c r="R76" i="2"/>
  <c r="S76" i="2"/>
  <c r="T76" i="2"/>
  <c r="U76" i="2"/>
  <c r="V76" i="2"/>
  <c r="W76" i="2"/>
  <c r="X76" i="2"/>
  <c r="Y76" i="2"/>
  <c r="Z76" i="2"/>
  <c r="AA76" i="2"/>
  <c r="AB76" i="2"/>
  <c r="AC76" i="2"/>
  <c r="AD76" i="2"/>
  <c r="AE76" i="2"/>
  <c r="AF76" i="2"/>
  <c r="AG76" i="2"/>
  <c r="AH76" i="2"/>
  <c r="AI76" i="2"/>
  <c r="AJ76" i="2"/>
  <c r="AK76" i="2"/>
  <c r="AL76" i="2"/>
  <c r="AM76" i="2"/>
  <c r="AN76" i="2"/>
  <c r="AO76" i="2"/>
  <c r="F77" i="2"/>
  <c r="G77" i="2"/>
  <c r="H77" i="2"/>
  <c r="I77" i="2"/>
  <c r="J77" i="2"/>
  <c r="K77" i="2"/>
  <c r="L77" i="2"/>
  <c r="M77" i="2"/>
  <c r="N77" i="2"/>
  <c r="O77" i="2"/>
  <c r="P77" i="2"/>
  <c r="Q77" i="2"/>
  <c r="R77" i="2"/>
  <c r="S77" i="2"/>
  <c r="T77" i="2"/>
  <c r="U77" i="2"/>
  <c r="V77" i="2"/>
  <c r="W77" i="2"/>
  <c r="X77" i="2"/>
  <c r="Y77" i="2"/>
  <c r="Z77" i="2"/>
  <c r="AA77" i="2"/>
  <c r="AB77" i="2"/>
  <c r="AC77" i="2"/>
  <c r="AD77" i="2"/>
  <c r="AE77" i="2"/>
  <c r="AF77" i="2"/>
  <c r="AG77" i="2"/>
  <c r="AH77" i="2"/>
  <c r="AI77" i="2"/>
  <c r="AJ77" i="2"/>
  <c r="AK77" i="2"/>
  <c r="AL77" i="2"/>
  <c r="AM77" i="2"/>
  <c r="AN77" i="2"/>
  <c r="AO77" i="2"/>
  <c r="F78" i="2"/>
  <c r="G78" i="2"/>
  <c r="H78" i="2"/>
  <c r="I78" i="2"/>
  <c r="J78" i="2"/>
  <c r="K78" i="2"/>
  <c r="L78" i="2"/>
  <c r="M78" i="2"/>
  <c r="N78" i="2"/>
  <c r="O78" i="2"/>
  <c r="P78" i="2"/>
  <c r="Q78" i="2"/>
  <c r="R78" i="2"/>
  <c r="S78" i="2"/>
  <c r="T78" i="2"/>
  <c r="U78" i="2"/>
  <c r="V78" i="2"/>
  <c r="W78" i="2"/>
  <c r="X78" i="2"/>
  <c r="Y78" i="2"/>
  <c r="Z78" i="2"/>
  <c r="AA78" i="2"/>
  <c r="AB78" i="2"/>
  <c r="AC78" i="2"/>
  <c r="AD78" i="2"/>
  <c r="AE78" i="2"/>
  <c r="AF78" i="2"/>
  <c r="AG78" i="2"/>
  <c r="AH78" i="2"/>
  <c r="AI78" i="2"/>
  <c r="AJ78" i="2"/>
  <c r="AK78" i="2"/>
  <c r="AL78" i="2"/>
  <c r="AM78" i="2"/>
  <c r="AN78" i="2"/>
  <c r="AO78" i="2"/>
  <c r="F79" i="2"/>
  <c r="G79" i="2"/>
  <c r="H79" i="2"/>
  <c r="I79" i="2"/>
  <c r="J79" i="2"/>
  <c r="K79" i="2"/>
  <c r="L79" i="2"/>
  <c r="M79" i="2"/>
  <c r="N79" i="2"/>
  <c r="O79" i="2"/>
  <c r="P79" i="2"/>
  <c r="Q79" i="2"/>
  <c r="R79" i="2"/>
  <c r="S79" i="2"/>
  <c r="T79" i="2"/>
  <c r="U79" i="2"/>
  <c r="V79" i="2"/>
  <c r="W79" i="2"/>
  <c r="X79" i="2"/>
  <c r="Y79" i="2"/>
  <c r="Z79" i="2"/>
  <c r="AA79" i="2"/>
  <c r="AB79" i="2"/>
  <c r="AC79" i="2"/>
  <c r="AD79" i="2"/>
  <c r="AE79" i="2"/>
  <c r="AF79" i="2"/>
  <c r="AG79" i="2"/>
  <c r="AH79" i="2"/>
  <c r="AI79" i="2"/>
  <c r="AJ79" i="2"/>
  <c r="AK79" i="2"/>
  <c r="AL79" i="2"/>
  <c r="AM79" i="2"/>
  <c r="AN79" i="2"/>
  <c r="AO79" i="2"/>
  <c r="F80" i="2"/>
  <c r="G80" i="2"/>
  <c r="H80" i="2"/>
  <c r="I80" i="2"/>
  <c r="J80" i="2"/>
  <c r="K80" i="2"/>
  <c r="L80" i="2"/>
  <c r="M80" i="2"/>
  <c r="N80" i="2"/>
  <c r="O80" i="2"/>
  <c r="P80" i="2"/>
  <c r="Q80" i="2"/>
  <c r="R80" i="2"/>
  <c r="S80" i="2"/>
  <c r="T80" i="2"/>
  <c r="U80" i="2"/>
  <c r="V80" i="2"/>
  <c r="W80" i="2"/>
  <c r="X80" i="2"/>
  <c r="Y80" i="2"/>
  <c r="Z80" i="2"/>
  <c r="AA80" i="2"/>
  <c r="AB80" i="2"/>
  <c r="AC80" i="2"/>
  <c r="AD80" i="2"/>
  <c r="AE80" i="2"/>
  <c r="AF80" i="2"/>
  <c r="AG80" i="2"/>
  <c r="AH80" i="2"/>
  <c r="AI80" i="2"/>
  <c r="AJ80" i="2"/>
  <c r="AK80" i="2"/>
  <c r="AL80" i="2"/>
  <c r="AM80" i="2"/>
  <c r="AN80" i="2"/>
  <c r="AO80" i="2"/>
  <c r="F81" i="2"/>
  <c r="G81" i="2"/>
  <c r="H81" i="2"/>
  <c r="I81" i="2"/>
  <c r="J81" i="2"/>
  <c r="K81" i="2"/>
  <c r="L81" i="2"/>
  <c r="M81" i="2"/>
  <c r="N81" i="2"/>
  <c r="O81" i="2"/>
  <c r="P81" i="2"/>
  <c r="Q81" i="2"/>
  <c r="R81" i="2"/>
  <c r="S81" i="2"/>
  <c r="T81" i="2"/>
  <c r="U81" i="2"/>
  <c r="V81" i="2"/>
  <c r="W81" i="2"/>
  <c r="X81" i="2"/>
  <c r="Y81" i="2"/>
  <c r="Z81" i="2"/>
  <c r="AA81" i="2"/>
  <c r="AB81" i="2"/>
  <c r="AC81" i="2"/>
  <c r="AD81" i="2"/>
  <c r="AE81" i="2"/>
  <c r="AF81" i="2"/>
  <c r="AG81" i="2"/>
  <c r="AH81" i="2"/>
  <c r="AI81" i="2"/>
  <c r="AJ81" i="2"/>
  <c r="AK81" i="2"/>
  <c r="AL81" i="2"/>
  <c r="AM81" i="2"/>
  <c r="AN81" i="2"/>
  <c r="AO81" i="2"/>
  <c r="F82" i="2"/>
  <c r="G82" i="2"/>
  <c r="H82" i="2"/>
  <c r="I82" i="2"/>
  <c r="J82" i="2"/>
  <c r="K82" i="2"/>
  <c r="L82" i="2"/>
  <c r="M82" i="2"/>
  <c r="N82" i="2"/>
  <c r="O82" i="2"/>
  <c r="P82" i="2"/>
  <c r="Q82" i="2"/>
  <c r="R82" i="2"/>
  <c r="S82" i="2"/>
  <c r="T82" i="2"/>
  <c r="U82" i="2"/>
  <c r="V82" i="2"/>
  <c r="W82" i="2"/>
  <c r="X82" i="2"/>
  <c r="Y82" i="2"/>
  <c r="Z82" i="2"/>
  <c r="AA82" i="2"/>
  <c r="AB82" i="2"/>
  <c r="AC82" i="2"/>
  <c r="AD82" i="2"/>
  <c r="AE82" i="2"/>
  <c r="AF82" i="2"/>
  <c r="AG82" i="2"/>
  <c r="AH82" i="2"/>
  <c r="AI82" i="2"/>
  <c r="AJ82" i="2"/>
  <c r="AK82" i="2"/>
  <c r="AL82" i="2"/>
  <c r="AM82" i="2"/>
  <c r="AN82" i="2"/>
  <c r="AO82" i="2"/>
  <c r="F83" i="2"/>
  <c r="G83" i="2"/>
  <c r="H83" i="2"/>
  <c r="I83" i="2"/>
  <c r="J83" i="2"/>
  <c r="K83" i="2"/>
  <c r="L83" i="2"/>
  <c r="M83" i="2"/>
  <c r="N83" i="2"/>
  <c r="O83" i="2"/>
  <c r="P83" i="2"/>
  <c r="Q83" i="2"/>
  <c r="R83" i="2"/>
  <c r="S83" i="2"/>
  <c r="T83" i="2"/>
  <c r="U83" i="2"/>
  <c r="V83" i="2"/>
  <c r="W83" i="2"/>
  <c r="X83" i="2"/>
  <c r="Y83" i="2"/>
  <c r="Z83" i="2"/>
  <c r="AA83" i="2"/>
  <c r="AB83" i="2"/>
  <c r="AC83" i="2"/>
  <c r="AD83" i="2"/>
  <c r="AE83" i="2"/>
  <c r="AF83" i="2"/>
  <c r="AG83" i="2"/>
  <c r="AH83" i="2"/>
  <c r="AI83" i="2"/>
  <c r="AJ83" i="2"/>
  <c r="AK83" i="2"/>
  <c r="AL83" i="2"/>
  <c r="AM83" i="2"/>
  <c r="AN83" i="2"/>
  <c r="AO83" i="2"/>
  <c r="F84" i="2"/>
  <c r="G84" i="2"/>
  <c r="H84" i="2"/>
  <c r="I84" i="2"/>
  <c r="J84" i="2"/>
  <c r="K84" i="2"/>
  <c r="L84" i="2"/>
  <c r="M84" i="2"/>
  <c r="N84" i="2"/>
  <c r="O84" i="2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AF84" i="2"/>
  <c r="AG84" i="2"/>
  <c r="AH84" i="2"/>
  <c r="AI84" i="2"/>
  <c r="AJ84" i="2"/>
  <c r="AK84" i="2"/>
  <c r="AL84" i="2"/>
  <c r="AM84" i="2"/>
  <c r="AN84" i="2"/>
  <c r="AO84" i="2"/>
  <c r="F85" i="2"/>
  <c r="G85" i="2"/>
  <c r="H85" i="2"/>
  <c r="I85" i="2"/>
  <c r="J85" i="2"/>
  <c r="K85" i="2"/>
  <c r="L85" i="2"/>
  <c r="M85" i="2"/>
  <c r="N85" i="2"/>
  <c r="O85" i="2"/>
  <c r="P85" i="2"/>
  <c r="Q85" i="2"/>
  <c r="R85" i="2"/>
  <c r="S85" i="2"/>
  <c r="T85" i="2"/>
  <c r="U85" i="2"/>
  <c r="V85" i="2"/>
  <c r="W85" i="2"/>
  <c r="X85" i="2"/>
  <c r="Y85" i="2"/>
  <c r="Z85" i="2"/>
  <c r="AA85" i="2"/>
  <c r="AB85" i="2"/>
  <c r="AC85" i="2"/>
  <c r="AD85" i="2"/>
  <c r="AE85" i="2"/>
  <c r="AF85" i="2"/>
  <c r="AG85" i="2"/>
  <c r="AH85" i="2"/>
  <c r="AI85" i="2"/>
  <c r="AJ85" i="2"/>
  <c r="AK85" i="2"/>
  <c r="AL85" i="2"/>
  <c r="AM85" i="2"/>
  <c r="AN85" i="2"/>
  <c r="AO85" i="2"/>
  <c r="F86" i="2"/>
  <c r="G86" i="2"/>
  <c r="H86" i="2"/>
  <c r="I86" i="2"/>
  <c r="J86" i="2"/>
  <c r="K86" i="2"/>
  <c r="L86" i="2"/>
  <c r="M86" i="2"/>
  <c r="N86" i="2"/>
  <c r="O86" i="2"/>
  <c r="P86" i="2"/>
  <c r="Q86" i="2"/>
  <c r="R86" i="2"/>
  <c r="S86" i="2"/>
  <c r="T86" i="2"/>
  <c r="U86" i="2"/>
  <c r="V86" i="2"/>
  <c r="W86" i="2"/>
  <c r="X86" i="2"/>
  <c r="Y86" i="2"/>
  <c r="Z86" i="2"/>
  <c r="AA86" i="2"/>
  <c r="AB86" i="2"/>
  <c r="AC86" i="2"/>
  <c r="AD86" i="2"/>
  <c r="AE86" i="2"/>
  <c r="AF86" i="2"/>
  <c r="AG86" i="2"/>
  <c r="AH86" i="2"/>
  <c r="AI86" i="2"/>
  <c r="AJ86" i="2"/>
  <c r="AK86" i="2"/>
  <c r="AL86" i="2"/>
  <c r="AM86" i="2"/>
  <c r="AN86" i="2"/>
  <c r="AO86" i="2"/>
  <c r="F87" i="2"/>
  <c r="G87" i="2"/>
  <c r="H87" i="2"/>
  <c r="I87" i="2"/>
  <c r="J87" i="2"/>
  <c r="K87" i="2"/>
  <c r="L87" i="2"/>
  <c r="M87" i="2"/>
  <c r="N87" i="2"/>
  <c r="O87" i="2"/>
  <c r="P87" i="2"/>
  <c r="Q87" i="2"/>
  <c r="R87" i="2"/>
  <c r="S87" i="2"/>
  <c r="T87" i="2"/>
  <c r="U87" i="2"/>
  <c r="V87" i="2"/>
  <c r="W87" i="2"/>
  <c r="X87" i="2"/>
  <c r="Y87" i="2"/>
  <c r="Z87" i="2"/>
  <c r="AA87" i="2"/>
  <c r="AB87" i="2"/>
  <c r="AC87" i="2"/>
  <c r="AD87" i="2"/>
  <c r="AE87" i="2"/>
  <c r="AF87" i="2"/>
  <c r="AG87" i="2"/>
  <c r="AH87" i="2"/>
  <c r="AI87" i="2"/>
  <c r="AJ87" i="2"/>
  <c r="AK87" i="2"/>
  <c r="AL87" i="2"/>
  <c r="AM87" i="2"/>
  <c r="AN87" i="2"/>
  <c r="AO87" i="2"/>
  <c r="F88" i="2"/>
  <c r="G88" i="2"/>
  <c r="H88" i="2"/>
  <c r="I88" i="2"/>
  <c r="J88" i="2"/>
  <c r="K88" i="2"/>
  <c r="L88" i="2"/>
  <c r="M88" i="2"/>
  <c r="N88" i="2"/>
  <c r="O88" i="2"/>
  <c r="P88" i="2"/>
  <c r="Q88" i="2"/>
  <c r="R88" i="2"/>
  <c r="S88" i="2"/>
  <c r="T88" i="2"/>
  <c r="U88" i="2"/>
  <c r="V88" i="2"/>
  <c r="W88" i="2"/>
  <c r="X88" i="2"/>
  <c r="Y88" i="2"/>
  <c r="Z88" i="2"/>
  <c r="AA88" i="2"/>
  <c r="AB88" i="2"/>
  <c r="AC88" i="2"/>
  <c r="AD88" i="2"/>
  <c r="AE88" i="2"/>
  <c r="AF88" i="2"/>
  <c r="AG88" i="2"/>
  <c r="AH88" i="2"/>
  <c r="AI88" i="2"/>
  <c r="AJ88" i="2"/>
  <c r="AK88" i="2"/>
  <c r="AL88" i="2"/>
  <c r="AM88" i="2"/>
  <c r="AN88" i="2"/>
  <c r="AO88" i="2"/>
  <c r="F89" i="2"/>
  <c r="G89" i="2"/>
  <c r="H89" i="2"/>
  <c r="I89" i="2"/>
  <c r="J89" i="2"/>
  <c r="K89" i="2"/>
  <c r="L89" i="2"/>
  <c r="M89" i="2"/>
  <c r="N89" i="2"/>
  <c r="O89" i="2"/>
  <c r="P89" i="2"/>
  <c r="Q89" i="2"/>
  <c r="R89" i="2"/>
  <c r="S89" i="2"/>
  <c r="T89" i="2"/>
  <c r="U89" i="2"/>
  <c r="V89" i="2"/>
  <c r="W89" i="2"/>
  <c r="X89" i="2"/>
  <c r="Y89" i="2"/>
  <c r="Z89" i="2"/>
  <c r="AA89" i="2"/>
  <c r="AB89" i="2"/>
  <c r="AC89" i="2"/>
  <c r="AD89" i="2"/>
  <c r="AE89" i="2"/>
  <c r="AF89" i="2"/>
  <c r="AG89" i="2"/>
  <c r="AH89" i="2"/>
  <c r="AI89" i="2"/>
  <c r="AJ89" i="2"/>
  <c r="AK89" i="2"/>
  <c r="AL89" i="2"/>
  <c r="AM89" i="2"/>
  <c r="AN89" i="2"/>
  <c r="AO89" i="2"/>
  <c r="F90" i="2"/>
  <c r="G90" i="2"/>
  <c r="H90" i="2"/>
  <c r="I90" i="2"/>
  <c r="J90" i="2"/>
  <c r="K90" i="2"/>
  <c r="L90" i="2"/>
  <c r="M90" i="2"/>
  <c r="N90" i="2"/>
  <c r="O90" i="2"/>
  <c r="P90" i="2"/>
  <c r="Q90" i="2"/>
  <c r="R90" i="2"/>
  <c r="S90" i="2"/>
  <c r="T90" i="2"/>
  <c r="U90" i="2"/>
  <c r="V90" i="2"/>
  <c r="W90" i="2"/>
  <c r="X90" i="2"/>
  <c r="Y90" i="2"/>
  <c r="Z90" i="2"/>
  <c r="AA90" i="2"/>
  <c r="AB90" i="2"/>
  <c r="AC90" i="2"/>
  <c r="AD90" i="2"/>
  <c r="AE90" i="2"/>
  <c r="AF90" i="2"/>
  <c r="AG90" i="2"/>
  <c r="AH90" i="2"/>
  <c r="AI90" i="2"/>
  <c r="AJ90" i="2"/>
  <c r="AK90" i="2"/>
  <c r="AL90" i="2"/>
  <c r="AM90" i="2"/>
  <c r="AN90" i="2"/>
  <c r="AO90" i="2"/>
  <c r="F91" i="2"/>
  <c r="G91" i="2"/>
  <c r="H91" i="2"/>
  <c r="I91" i="2"/>
  <c r="J91" i="2"/>
  <c r="K91" i="2"/>
  <c r="L91" i="2"/>
  <c r="M91" i="2"/>
  <c r="N91" i="2"/>
  <c r="O91" i="2"/>
  <c r="P91" i="2"/>
  <c r="Q91" i="2"/>
  <c r="R91" i="2"/>
  <c r="S91" i="2"/>
  <c r="T91" i="2"/>
  <c r="U91" i="2"/>
  <c r="V91" i="2"/>
  <c r="W91" i="2"/>
  <c r="X91" i="2"/>
  <c r="Y91" i="2"/>
  <c r="Z91" i="2"/>
  <c r="AA91" i="2"/>
  <c r="AB91" i="2"/>
  <c r="AC91" i="2"/>
  <c r="AD91" i="2"/>
  <c r="AE91" i="2"/>
  <c r="AF91" i="2"/>
  <c r="AG91" i="2"/>
  <c r="AH91" i="2"/>
  <c r="AI91" i="2"/>
  <c r="AJ91" i="2"/>
  <c r="AK91" i="2"/>
  <c r="AL91" i="2"/>
  <c r="AM91" i="2"/>
  <c r="AN91" i="2"/>
  <c r="AO91" i="2"/>
  <c r="F92" i="2"/>
  <c r="G92" i="2"/>
  <c r="H92" i="2"/>
  <c r="I92" i="2"/>
  <c r="J92" i="2"/>
  <c r="K92" i="2"/>
  <c r="L92" i="2"/>
  <c r="M92" i="2"/>
  <c r="N92" i="2"/>
  <c r="O92" i="2"/>
  <c r="P92" i="2"/>
  <c r="Q92" i="2"/>
  <c r="R92" i="2"/>
  <c r="S92" i="2"/>
  <c r="T92" i="2"/>
  <c r="U92" i="2"/>
  <c r="V92" i="2"/>
  <c r="W92" i="2"/>
  <c r="X92" i="2"/>
  <c r="Y92" i="2"/>
  <c r="Z92" i="2"/>
  <c r="AA92" i="2"/>
  <c r="AB92" i="2"/>
  <c r="AC92" i="2"/>
  <c r="AD92" i="2"/>
  <c r="AE92" i="2"/>
  <c r="AF92" i="2"/>
  <c r="AG92" i="2"/>
  <c r="AH92" i="2"/>
  <c r="AI92" i="2"/>
  <c r="AJ92" i="2"/>
  <c r="AK92" i="2"/>
  <c r="AL92" i="2"/>
  <c r="AM92" i="2"/>
  <c r="AN92" i="2"/>
  <c r="AO92" i="2"/>
  <c r="F93" i="2"/>
  <c r="G93" i="2"/>
  <c r="H93" i="2"/>
  <c r="I93" i="2"/>
  <c r="J93" i="2"/>
  <c r="K93" i="2"/>
  <c r="L93" i="2"/>
  <c r="M93" i="2"/>
  <c r="N93" i="2"/>
  <c r="O93" i="2"/>
  <c r="P93" i="2"/>
  <c r="Q93" i="2"/>
  <c r="R93" i="2"/>
  <c r="S93" i="2"/>
  <c r="T93" i="2"/>
  <c r="U93" i="2"/>
  <c r="V93" i="2"/>
  <c r="W93" i="2"/>
  <c r="X93" i="2"/>
  <c r="Y93" i="2"/>
  <c r="Z93" i="2"/>
  <c r="AA93" i="2"/>
  <c r="AB93" i="2"/>
  <c r="AC93" i="2"/>
  <c r="AD93" i="2"/>
  <c r="AE93" i="2"/>
  <c r="AF93" i="2"/>
  <c r="AG93" i="2"/>
  <c r="AH93" i="2"/>
  <c r="AI93" i="2"/>
  <c r="AJ93" i="2"/>
  <c r="AK93" i="2"/>
  <c r="AL93" i="2"/>
  <c r="AM93" i="2"/>
  <c r="AN93" i="2"/>
  <c r="AO93" i="2"/>
  <c r="F94" i="2"/>
  <c r="G94" i="2"/>
  <c r="H94" i="2"/>
  <c r="I94" i="2"/>
  <c r="J94" i="2"/>
  <c r="K94" i="2"/>
  <c r="L94" i="2"/>
  <c r="M94" i="2"/>
  <c r="N94" i="2"/>
  <c r="O94" i="2"/>
  <c r="P94" i="2"/>
  <c r="Q94" i="2"/>
  <c r="R94" i="2"/>
  <c r="S94" i="2"/>
  <c r="T94" i="2"/>
  <c r="U94" i="2"/>
  <c r="V94" i="2"/>
  <c r="W94" i="2"/>
  <c r="X94" i="2"/>
  <c r="Y94" i="2"/>
  <c r="Z94" i="2"/>
  <c r="AA94" i="2"/>
  <c r="AB94" i="2"/>
  <c r="AC94" i="2"/>
  <c r="AD94" i="2"/>
  <c r="AE94" i="2"/>
  <c r="AF94" i="2"/>
  <c r="AG94" i="2"/>
  <c r="AH94" i="2"/>
  <c r="AI94" i="2"/>
  <c r="AJ94" i="2"/>
  <c r="AK94" i="2"/>
  <c r="AL94" i="2"/>
  <c r="AM94" i="2"/>
  <c r="AN94" i="2"/>
  <c r="AO94" i="2"/>
  <c r="F95" i="2"/>
  <c r="G95" i="2"/>
  <c r="H95" i="2"/>
  <c r="I95" i="2"/>
  <c r="J95" i="2"/>
  <c r="K95" i="2"/>
  <c r="L95" i="2"/>
  <c r="M95" i="2"/>
  <c r="N95" i="2"/>
  <c r="O95" i="2"/>
  <c r="P95" i="2"/>
  <c r="Q95" i="2"/>
  <c r="R95" i="2"/>
  <c r="S95" i="2"/>
  <c r="T95" i="2"/>
  <c r="U95" i="2"/>
  <c r="V95" i="2"/>
  <c r="W95" i="2"/>
  <c r="X95" i="2"/>
  <c r="Y95" i="2"/>
  <c r="Z95" i="2"/>
  <c r="AA95" i="2"/>
  <c r="AB95" i="2"/>
  <c r="AC95" i="2"/>
  <c r="AD95" i="2"/>
  <c r="AE95" i="2"/>
  <c r="AF95" i="2"/>
  <c r="AG95" i="2"/>
  <c r="AH95" i="2"/>
  <c r="AI95" i="2"/>
  <c r="AJ95" i="2"/>
  <c r="AK95" i="2"/>
  <c r="AL95" i="2"/>
  <c r="AM95" i="2"/>
  <c r="AN95" i="2"/>
  <c r="AO95" i="2"/>
  <c r="F96" i="2"/>
  <c r="G96" i="2"/>
  <c r="H96" i="2"/>
  <c r="I96" i="2"/>
  <c r="J96" i="2"/>
  <c r="K96" i="2"/>
  <c r="L96" i="2"/>
  <c r="M96" i="2"/>
  <c r="N96" i="2"/>
  <c r="O96" i="2"/>
  <c r="P96" i="2"/>
  <c r="Q96" i="2"/>
  <c r="R96" i="2"/>
  <c r="S96" i="2"/>
  <c r="T96" i="2"/>
  <c r="U96" i="2"/>
  <c r="V96" i="2"/>
  <c r="W96" i="2"/>
  <c r="X96" i="2"/>
  <c r="Y96" i="2"/>
  <c r="Z96" i="2"/>
  <c r="AA96" i="2"/>
  <c r="AB96" i="2"/>
  <c r="AC96" i="2"/>
  <c r="AD96" i="2"/>
  <c r="AE96" i="2"/>
  <c r="AF96" i="2"/>
  <c r="AG96" i="2"/>
  <c r="AH96" i="2"/>
  <c r="AI96" i="2"/>
  <c r="AJ96" i="2"/>
  <c r="AK96" i="2"/>
  <c r="AL96" i="2"/>
  <c r="AM96" i="2"/>
  <c r="AN96" i="2"/>
  <c r="AO96" i="2"/>
  <c r="F97" i="2"/>
  <c r="G97" i="2"/>
  <c r="H97" i="2"/>
  <c r="I97" i="2"/>
  <c r="J97" i="2"/>
  <c r="K97" i="2"/>
  <c r="L97" i="2"/>
  <c r="M97" i="2"/>
  <c r="N97" i="2"/>
  <c r="O97" i="2"/>
  <c r="P97" i="2"/>
  <c r="Q97" i="2"/>
  <c r="R97" i="2"/>
  <c r="S97" i="2"/>
  <c r="T97" i="2"/>
  <c r="U97" i="2"/>
  <c r="V97" i="2"/>
  <c r="W97" i="2"/>
  <c r="X97" i="2"/>
  <c r="Y97" i="2"/>
  <c r="Z97" i="2"/>
  <c r="AA97" i="2"/>
  <c r="AB97" i="2"/>
  <c r="AC97" i="2"/>
  <c r="AD97" i="2"/>
  <c r="AE97" i="2"/>
  <c r="AF97" i="2"/>
  <c r="AG97" i="2"/>
  <c r="AH97" i="2"/>
  <c r="AI97" i="2"/>
  <c r="AJ97" i="2"/>
  <c r="AK97" i="2"/>
  <c r="AL97" i="2"/>
  <c r="AM97" i="2"/>
  <c r="AN97" i="2"/>
  <c r="AO97" i="2"/>
  <c r="F98" i="2"/>
  <c r="G98" i="2"/>
  <c r="H98" i="2"/>
  <c r="I98" i="2"/>
  <c r="J98" i="2"/>
  <c r="K98" i="2"/>
  <c r="L98" i="2"/>
  <c r="M98" i="2"/>
  <c r="N98" i="2"/>
  <c r="O98" i="2"/>
  <c r="P98" i="2"/>
  <c r="Q98" i="2"/>
  <c r="R98" i="2"/>
  <c r="S98" i="2"/>
  <c r="T98" i="2"/>
  <c r="U98" i="2"/>
  <c r="V98" i="2"/>
  <c r="W98" i="2"/>
  <c r="X98" i="2"/>
  <c r="Y98" i="2"/>
  <c r="Z98" i="2"/>
  <c r="AA98" i="2"/>
  <c r="AB98" i="2"/>
  <c r="AC98" i="2"/>
  <c r="AD98" i="2"/>
  <c r="AE98" i="2"/>
  <c r="AF98" i="2"/>
  <c r="AG98" i="2"/>
  <c r="AH98" i="2"/>
  <c r="AI98" i="2"/>
  <c r="AJ98" i="2"/>
  <c r="AK98" i="2"/>
  <c r="AL98" i="2"/>
  <c r="AM98" i="2"/>
  <c r="AN98" i="2"/>
  <c r="AO98" i="2"/>
  <c r="F99" i="2"/>
  <c r="G99" i="2"/>
  <c r="H99" i="2"/>
  <c r="I99" i="2"/>
  <c r="J99" i="2"/>
  <c r="K99" i="2"/>
  <c r="L99" i="2"/>
  <c r="M99" i="2"/>
  <c r="N99" i="2"/>
  <c r="O99" i="2"/>
  <c r="P99" i="2"/>
  <c r="Q99" i="2"/>
  <c r="R99" i="2"/>
  <c r="S99" i="2"/>
  <c r="T99" i="2"/>
  <c r="U99" i="2"/>
  <c r="V99" i="2"/>
  <c r="W99" i="2"/>
  <c r="X99" i="2"/>
  <c r="Y99" i="2"/>
  <c r="Z99" i="2"/>
  <c r="AA99" i="2"/>
  <c r="AB99" i="2"/>
  <c r="AC99" i="2"/>
  <c r="AD99" i="2"/>
  <c r="AE99" i="2"/>
  <c r="AF99" i="2"/>
  <c r="AG99" i="2"/>
  <c r="AH99" i="2"/>
  <c r="AI99" i="2"/>
  <c r="AJ99" i="2"/>
  <c r="AK99" i="2"/>
  <c r="AL99" i="2"/>
  <c r="AM99" i="2"/>
  <c r="AN99" i="2"/>
  <c r="AO99" i="2"/>
  <c r="F100" i="2"/>
  <c r="G100" i="2"/>
  <c r="H100" i="2"/>
  <c r="I100" i="2"/>
  <c r="J100" i="2"/>
  <c r="K100" i="2"/>
  <c r="L100" i="2"/>
  <c r="M100" i="2"/>
  <c r="N100" i="2"/>
  <c r="O100" i="2"/>
  <c r="P100" i="2"/>
  <c r="Q100" i="2"/>
  <c r="R100" i="2"/>
  <c r="S100" i="2"/>
  <c r="T100" i="2"/>
  <c r="U100" i="2"/>
  <c r="V100" i="2"/>
  <c r="W100" i="2"/>
  <c r="X100" i="2"/>
  <c r="Y100" i="2"/>
  <c r="Z100" i="2"/>
  <c r="AA100" i="2"/>
  <c r="AB100" i="2"/>
  <c r="AC100" i="2"/>
  <c r="AD100" i="2"/>
  <c r="AE100" i="2"/>
  <c r="AF100" i="2"/>
  <c r="AG100" i="2"/>
  <c r="AH100" i="2"/>
  <c r="AI100" i="2"/>
  <c r="AJ100" i="2"/>
  <c r="AK100" i="2"/>
  <c r="AL100" i="2"/>
  <c r="AM100" i="2"/>
  <c r="AN100" i="2"/>
  <c r="AO100" i="2"/>
  <c r="F101" i="2"/>
  <c r="G101" i="2"/>
  <c r="H101" i="2"/>
  <c r="I101" i="2"/>
  <c r="J101" i="2"/>
  <c r="K101" i="2"/>
  <c r="L101" i="2"/>
  <c r="M101" i="2"/>
  <c r="N101" i="2"/>
  <c r="O101" i="2"/>
  <c r="P101" i="2"/>
  <c r="Q101" i="2"/>
  <c r="R101" i="2"/>
  <c r="S101" i="2"/>
  <c r="T101" i="2"/>
  <c r="U101" i="2"/>
  <c r="V101" i="2"/>
  <c r="W101" i="2"/>
  <c r="X101" i="2"/>
  <c r="Y101" i="2"/>
  <c r="Z101" i="2"/>
  <c r="AA101" i="2"/>
  <c r="AB101" i="2"/>
  <c r="AC101" i="2"/>
  <c r="AD101" i="2"/>
  <c r="AE101" i="2"/>
  <c r="AF101" i="2"/>
  <c r="AG101" i="2"/>
  <c r="AH101" i="2"/>
  <c r="AI101" i="2"/>
  <c r="AJ101" i="2"/>
  <c r="AK101" i="2"/>
  <c r="AL101" i="2"/>
  <c r="AM101" i="2"/>
  <c r="AN101" i="2"/>
  <c r="AO101" i="2"/>
  <c r="F102" i="2"/>
  <c r="G102" i="2"/>
  <c r="H102" i="2"/>
  <c r="I102" i="2"/>
  <c r="J102" i="2"/>
  <c r="K102" i="2"/>
  <c r="L102" i="2"/>
  <c r="M102" i="2"/>
  <c r="N102" i="2"/>
  <c r="O102" i="2"/>
  <c r="P102" i="2"/>
  <c r="Q102" i="2"/>
  <c r="R102" i="2"/>
  <c r="S102" i="2"/>
  <c r="T102" i="2"/>
  <c r="U102" i="2"/>
  <c r="V102" i="2"/>
  <c r="W102" i="2"/>
  <c r="X102" i="2"/>
  <c r="Y102" i="2"/>
  <c r="Z102" i="2"/>
  <c r="AA102" i="2"/>
  <c r="AB102" i="2"/>
  <c r="AC102" i="2"/>
  <c r="AD102" i="2"/>
  <c r="AE102" i="2"/>
  <c r="AF102" i="2"/>
  <c r="AG102" i="2"/>
  <c r="AH102" i="2"/>
  <c r="AI102" i="2"/>
  <c r="AJ102" i="2"/>
  <c r="AK102" i="2"/>
  <c r="AL102" i="2"/>
  <c r="AM102" i="2"/>
  <c r="AN102" i="2"/>
  <c r="AO102" i="2"/>
  <c r="F103" i="2"/>
  <c r="G103" i="2"/>
  <c r="H103" i="2"/>
  <c r="I103" i="2"/>
  <c r="J103" i="2"/>
  <c r="K103" i="2"/>
  <c r="L103" i="2"/>
  <c r="M103" i="2"/>
  <c r="N103" i="2"/>
  <c r="O103" i="2"/>
  <c r="P103" i="2"/>
  <c r="Q103" i="2"/>
  <c r="R103" i="2"/>
  <c r="S103" i="2"/>
  <c r="T103" i="2"/>
  <c r="U103" i="2"/>
  <c r="V103" i="2"/>
  <c r="W103" i="2"/>
  <c r="X103" i="2"/>
  <c r="Y103" i="2"/>
  <c r="Z103" i="2"/>
  <c r="AA103" i="2"/>
  <c r="AB103" i="2"/>
  <c r="AC103" i="2"/>
  <c r="AD103" i="2"/>
  <c r="AE103" i="2"/>
  <c r="AF103" i="2"/>
  <c r="AG103" i="2"/>
  <c r="AH103" i="2"/>
  <c r="AI103" i="2"/>
  <c r="AJ103" i="2"/>
  <c r="AK103" i="2"/>
  <c r="AL103" i="2"/>
  <c r="AM103" i="2"/>
  <c r="AN103" i="2"/>
  <c r="AO103" i="2"/>
  <c r="F104" i="2"/>
  <c r="G104" i="2"/>
  <c r="H104" i="2"/>
  <c r="I104" i="2"/>
  <c r="J104" i="2"/>
  <c r="K104" i="2"/>
  <c r="L104" i="2"/>
  <c r="M104" i="2"/>
  <c r="N104" i="2"/>
  <c r="O104" i="2"/>
  <c r="P104" i="2"/>
  <c r="Q104" i="2"/>
  <c r="R104" i="2"/>
  <c r="S104" i="2"/>
  <c r="T104" i="2"/>
  <c r="U104" i="2"/>
  <c r="V104" i="2"/>
  <c r="W104" i="2"/>
  <c r="X104" i="2"/>
  <c r="Y104" i="2"/>
  <c r="Z104" i="2"/>
  <c r="AA104" i="2"/>
  <c r="AB104" i="2"/>
  <c r="AC104" i="2"/>
  <c r="AD104" i="2"/>
  <c r="AE104" i="2"/>
  <c r="AF104" i="2"/>
  <c r="AG104" i="2"/>
  <c r="AH104" i="2"/>
  <c r="AI104" i="2"/>
  <c r="AJ104" i="2"/>
  <c r="AK104" i="2"/>
  <c r="AL104" i="2"/>
  <c r="AM104" i="2"/>
  <c r="AN104" i="2"/>
  <c r="AO104" i="2"/>
  <c r="F105" i="2"/>
  <c r="G105" i="2"/>
  <c r="H105" i="2"/>
  <c r="I105" i="2"/>
  <c r="J105" i="2"/>
  <c r="K105" i="2"/>
  <c r="L105" i="2"/>
  <c r="M105" i="2"/>
  <c r="N105" i="2"/>
  <c r="O105" i="2"/>
  <c r="P105" i="2"/>
  <c r="Q105" i="2"/>
  <c r="R105" i="2"/>
  <c r="S105" i="2"/>
  <c r="T105" i="2"/>
  <c r="U105" i="2"/>
  <c r="V105" i="2"/>
  <c r="W105" i="2"/>
  <c r="X105" i="2"/>
  <c r="Y105" i="2"/>
  <c r="Z105" i="2"/>
  <c r="AA105" i="2"/>
  <c r="AB105" i="2"/>
  <c r="AC105" i="2"/>
  <c r="AD105" i="2"/>
  <c r="AE105" i="2"/>
  <c r="AF105" i="2"/>
  <c r="AG105" i="2"/>
  <c r="AH105" i="2"/>
  <c r="AI105" i="2"/>
  <c r="AJ105" i="2"/>
  <c r="AK105" i="2"/>
  <c r="AL105" i="2"/>
  <c r="AM105" i="2"/>
  <c r="AN105" i="2"/>
  <c r="AO105" i="2"/>
  <c r="F106" i="2"/>
  <c r="G106" i="2"/>
  <c r="H106" i="2"/>
  <c r="I106" i="2"/>
  <c r="J106" i="2"/>
  <c r="K106" i="2"/>
  <c r="L106" i="2"/>
  <c r="M106" i="2"/>
  <c r="N106" i="2"/>
  <c r="O106" i="2"/>
  <c r="P106" i="2"/>
  <c r="Q106" i="2"/>
  <c r="R106" i="2"/>
  <c r="S106" i="2"/>
  <c r="T106" i="2"/>
  <c r="U106" i="2"/>
  <c r="V106" i="2"/>
  <c r="W106" i="2"/>
  <c r="X106" i="2"/>
  <c r="Y106" i="2"/>
  <c r="Z106" i="2"/>
  <c r="AA106" i="2"/>
  <c r="AB106" i="2"/>
  <c r="AC106" i="2"/>
  <c r="AD106" i="2"/>
  <c r="AE106" i="2"/>
  <c r="AF106" i="2"/>
  <c r="AG106" i="2"/>
  <c r="AH106" i="2"/>
  <c r="AI106" i="2"/>
  <c r="AJ106" i="2"/>
  <c r="AK106" i="2"/>
  <c r="AL106" i="2"/>
  <c r="AM106" i="2"/>
  <c r="AN106" i="2"/>
  <c r="AO106" i="2"/>
  <c r="I110" i="2"/>
  <c r="H110" i="2"/>
  <c r="G110" i="2"/>
  <c r="F110" i="2"/>
  <c r="AM3" i="2"/>
  <c r="AI3" i="2"/>
  <c r="AE3" i="2"/>
  <c r="AA3" i="2"/>
  <c r="W3" i="2"/>
  <c r="S3" i="2"/>
  <c r="O3" i="2"/>
  <c r="K3" i="2"/>
  <c r="G3" i="2"/>
  <c r="AO3" i="2"/>
  <c r="AN3" i="2"/>
  <c r="AN107" i="2" s="1"/>
  <c r="I122" i="2" s="1"/>
  <c r="AL3" i="2"/>
  <c r="AK3" i="2"/>
  <c r="AJ3" i="2"/>
  <c r="AH3" i="2"/>
  <c r="AG3" i="2"/>
  <c r="AF3" i="2"/>
  <c r="AD3" i="2"/>
  <c r="AC3" i="2"/>
  <c r="AB3" i="2"/>
  <c r="Z3" i="2"/>
  <c r="Y3" i="2"/>
  <c r="X3" i="2"/>
  <c r="V3" i="2"/>
  <c r="U3" i="2"/>
  <c r="T3" i="2"/>
  <c r="R3" i="2"/>
  <c r="Q3" i="2"/>
  <c r="P3" i="2"/>
  <c r="N3" i="2"/>
  <c r="M3" i="2"/>
  <c r="L3" i="2"/>
  <c r="J3" i="2"/>
  <c r="I3" i="2"/>
  <c r="H3" i="2"/>
  <c r="F3" i="2"/>
  <c r="DR16" i="3" l="1"/>
  <c r="N95" i="3"/>
  <c r="S107" i="2"/>
  <c r="H117" i="2" s="1"/>
  <c r="D65" i="7" s="1"/>
  <c r="H65" i="7" s="1"/>
  <c r="AI107" i="2"/>
  <c r="H121" i="2" s="1"/>
  <c r="Z107" i="2"/>
  <c r="G119" i="2" s="1"/>
  <c r="L110" i="2"/>
  <c r="D52" i="7" s="1"/>
  <c r="H52" i="7" s="1"/>
  <c r="I52" i="7" s="1"/>
  <c r="D65" i="5"/>
  <c r="H65" i="5" s="1"/>
  <c r="CY10" i="3"/>
  <c r="CY14" i="3"/>
  <c r="CY11" i="3"/>
  <c r="CY12" i="3"/>
  <c r="CY8" i="3"/>
  <c r="CY9" i="3"/>
  <c r="X107" i="2"/>
  <c r="I118" i="2" s="1"/>
  <c r="D70" i="7" s="1"/>
  <c r="H70" i="7" s="1"/>
  <c r="I70" i="7" s="1"/>
  <c r="J107" i="2"/>
  <c r="G115" i="2" s="1"/>
  <c r="EW95" i="3"/>
  <c r="C149" i="3" s="1"/>
  <c r="EU95" i="3"/>
  <c r="A149" i="3" s="1"/>
  <c r="D201" i="7" s="1"/>
  <c r="H201" i="7" s="1"/>
  <c r="I201" i="7" s="1"/>
  <c r="EV95" i="3"/>
  <c r="B149" i="3" s="1"/>
  <c r="D202" i="7" s="1"/>
  <c r="H202" i="7" s="1"/>
  <c r="I202" i="7" s="1"/>
  <c r="H107" i="2"/>
  <c r="I114" i="2" s="1"/>
  <c r="D66" i="7" s="1"/>
  <c r="H66" i="7" s="1"/>
  <c r="I66" i="7" s="1"/>
  <c r="EQ35" i="3"/>
  <c r="EQ16" i="3"/>
  <c r="EQ59" i="3"/>
  <c r="EQ8" i="3"/>
  <c r="DR85" i="3"/>
  <c r="EQ92" i="3"/>
  <c r="EQ13" i="3"/>
  <c r="EQ91" i="3"/>
  <c r="DR53" i="3"/>
  <c r="DH77" i="3"/>
  <c r="DH86" i="3"/>
  <c r="DH94" i="3"/>
  <c r="ER95" i="3"/>
  <c r="B141" i="3" s="1"/>
  <c r="E165" i="7" s="1"/>
  <c r="DR33" i="3"/>
  <c r="DR61" i="3"/>
  <c r="EQ56" i="3"/>
  <c r="EQ68" i="3"/>
  <c r="EQ72" i="3"/>
  <c r="EQ88" i="3"/>
  <c r="EQ70" i="3"/>
  <c r="EQ14" i="3"/>
  <c r="EQ63" i="3"/>
  <c r="EQ45" i="3"/>
  <c r="EQ61" i="3"/>
  <c r="EQ77" i="3"/>
  <c r="EQ93" i="3"/>
  <c r="DR45" i="3"/>
  <c r="DH45" i="3"/>
  <c r="DH78" i="3"/>
  <c r="DR78" i="3"/>
  <c r="EQ11" i="3"/>
  <c r="EQ84" i="3"/>
  <c r="EQ9" i="3"/>
  <c r="EQ22" i="3"/>
  <c r="EQ30" i="3"/>
  <c r="EQ54" i="3"/>
  <c r="EQ82" i="3"/>
  <c r="EQ86" i="3"/>
  <c r="EQ10" i="3"/>
  <c r="EQ47" i="3"/>
  <c r="EQ75" i="3"/>
  <c r="EQ79" i="3"/>
  <c r="EQ33" i="3"/>
  <c r="EQ57" i="3"/>
  <c r="EQ73" i="3"/>
  <c r="EQ89" i="3"/>
  <c r="EQ7" i="3"/>
  <c r="EQ44" i="3"/>
  <c r="EQ52" i="3"/>
  <c r="EQ60" i="3"/>
  <c r="EQ50" i="3"/>
  <c r="EQ66" i="3"/>
  <c r="EQ53" i="3"/>
  <c r="EQ69" i="3"/>
  <c r="EQ85" i="3"/>
  <c r="EQ6" i="3"/>
  <c r="DH53" i="3"/>
  <c r="DH61" i="3"/>
  <c r="DR77" i="3"/>
  <c r="DH81" i="3"/>
  <c r="EQ15" i="3"/>
  <c r="EQ48" i="3"/>
  <c r="EQ64" i="3"/>
  <c r="EQ76" i="3"/>
  <c r="EQ80" i="3"/>
  <c r="EQ34" i="3"/>
  <c r="EQ46" i="3"/>
  <c r="EQ58" i="3"/>
  <c r="EQ62" i="3"/>
  <c r="EQ74" i="3"/>
  <c r="EQ78" i="3"/>
  <c r="EQ90" i="3"/>
  <c r="EQ94" i="3"/>
  <c r="EQ31" i="3"/>
  <c r="EQ51" i="3"/>
  <c r="EQ55" i="3"/>
  <c r="EQ67" i="3"/>
  <c r="EQ71" i="3"/>
  <c r="EQ83" i="3"/>
  <c r="EQ87" i="3"/>
  <c r="EQ12" i="3"/>
  <c r="EQ49" i="3"/>
  <c r="EQ65" i="3"/>
  <c r="EQ81" i="3"/>
  <c r="DH91" i="3"/>
  <c r="DH11" i="3"/>
  <c r="DR93" i="3"/>
  <c r="DH93" i="3"/>
  <c r="DH63" i="3"/>
  <c r="DH7" i="3"/>
  <c r="DH48" i="3"/>
  <c r="DR49" i="3"/>
  <c r="DH85" i="3"/>
  <c r="DR89" i="3"/>
  <c r="DH82" i="3"/>
  <c r="DR90" i="3"/>
  <c r="DH84" i="3"/>
  <c r="DT95" i="3"/>
  <c r="EA95" i="3"/>
  <c r="EE95" i="3"/>
  <c r="DX95" i="3"/>
  <c r="DG95" i="3"/>
  <c r="EL95" i="3"/>
  <c r="DR13" i="3"/>
  <c r="DR11" i="3"/>
  <c r="DR44" i="3"/>
  <c r="DR52" i="3"/>
  <c r="DH60" i="3"/>
  <c r="DR60" i="3"/>
  <c r="DH80" i="3"/>
  <c r="DR80" i="3"/>
  <c r="DR88" i="3"/>
  <c r="DR8" i="3"/>
  <c r="DH12" i="3"/>
  <c r="DR12" i="3"/>
  <c r="DK95" i="3"/>
  <c r="DF95" i="3"/>
  <c r="DQ95" i="3"/>
  <c r="DS95" i="3"/>
  <c r="EN95" i="3"/>
  <c r="DR6" i="3"/>
  <c r="EH95" i="3"/>
  <c r="DH9" i="3"/>
  <c r="DR50" i="3"/>
  <c r="DR74" i="3"/>
  <c r="DR82" i="3"/>
  <c r="DH90" i="3"/>
  <c r="DR10" i="3"/>
  <c r="DH10" i="3"/>
  <c r="DH59" i="3"/>
  <c r="DH79" i="3"/>
  <c r="DR79" i="3"/>
  <c r="DH87" i="3"/>
  <c r="DR87" i="3"/>
  <c r="DH50" i="3"/>
  <c r="DR70" i="3"/>
  <c r="DR86" i="3"/>
  <c r="DR94" i="3"/>
  <c r="DR47" i="3"/>
  <c r="DH47" i="3"/>
  <c r="DH55" i="3"/>
  <c r="DR55" i="3"/>
  <c r="DR59" i="3"/>
  <c r="DR63" i="3"/>
  <c r="DR71" i="3"/>
  <c r="DH83" i="3"/>
  <c r="DR83" i="3"/>
  <c r="DR91" i="3"/>
  <c r="DH92" i="3"/>
  <c r="DR92" i="3"/>
  <c r="DI95" i="3"/>
  <c r="DU95" i="3"/>
  <c r="DY95" i="3"/>
  <c r="DV95" i="3"/>
  <c r="DH13" i="3"/>
  <c r="DR7" i="3"/>
  <c r="DH15" i="3"/>
  <c r="DR48" i="3"/>
  <c r="DH56" i="3"/>
  <c r="DR56" i="3"/>
  <c r="DR64" i="3"/>
  <c r="DH76" i="3"/>
  <c r="DR76" i="3"/>
  <c r="DR84" i="3"/>
  <c r="DH88" i="3"/>
  <c r="DO95" i="3"/>
  <c r="EG95" i="3"/>
  <c r="EJ95" i="3"/>
  <c r="EO95" i="3"/>
  <c r="EK95" i="3"/>
  <c r="EF95" i="3"/>
  <c r="EC95" i="3"/>
  <c r="DL95" i="3"/>
  <c r="DZ95" i="3"/>
  <c r="DR9" i="3"/>
  <c r="DH30" i="3"/>
  <c r="DR30" i="3"/>
  <c r="DJ95" i="3"/>
  <c r="DR15" i="3"/>
  <c r="DH44" i="3"/>
  <c r="DH52" i="3"/>
  <c r="DH64" i="3"/>
  <c r="DH8" i="3"/>
  <c r="DH33" i="3"/>
  <c r="DH49" i="3"/>
  <c r="DR81" i="3"/>
  <c r="DH89" i="3"/>
  <c r="EB95" i="3"/>
  <c r="DE95" i="3"/>
  <c r="DP95" i="3"/>
  <c r="EM95" i="3"/>
  <c r="EI95" i="3"/>
  <c r="DH6" i="3"/>
  <c r="ED95" i="3"/>
  <c r="DH70" i="3"/>
  <c r="DH74" i="3"/>
  <c r="DH14" i="3"/>
  <c r="DR14" i="3"/>
  <c r="DH71" i="3"/>
  <c r="DC95" i="3"/>
  <c r="DA95" i="3"/>
  <c r="DB95" i="3"/>
  <c r="CX95" i="3"/>
  <c r="CZ95" i="3"/>
  <c r="CV95" i="3"/>
  <c r="C125" i="3" s="1"/>
  <c r="J95" i="3"/>
  <c r="CA22" i="3"/>
  <c r="CE22" i="3"/>
  <c r="CI22" i="3"/>
  <c r="CM22" i="3"/>
  <c r="BY22" i="3"/>
  <c r="CC22" i="3"/>
  <c r="CG22" i="3"/>
  <c r="CK22" i="3"/>
  <c r="CO22" i="3"/>
  <c r="BZ22" i="3"/>
  <c r="CH22" i="3"/>
  <c r="CD22" i="3"/>
  <c r="CL22" i="3"/>
  <c r="BX22" i="3"/>
  <c r="CN22" i="3"/>
  <c r="CB22" i="3"/>
  <c r="CJ22" i="3"/>
  <c r="CF22" i="3"/>
  <c r="BH22" i="3"/>
  <c r="BL22" i="3"/>
  <c r="BP22" i="3"/>
  <c r="BT22" i="3"/>
  <c r="BJ22" i="3"/>
  <c r="BO22" i="3"/>
  <c r="BU22" i="3"/>
  <c r="BF22" i="3"/>
  <c r="BQ22" i="3"/>
  <c r="BV22" i="3"/>
  <c r="BN22" i="3"/>
  <c r="BG22" i="3"/>
  <c r="BR22" i="3"/>
  <c r="BI22" i="3"/>
  <c r="BS22" i="3"/>
  <c r="BM22" i="3"/>
  <c r="BW22" i="3"/>
  <c r="AQ22" i="3"/>
  <c r="AU22" i="3"/>
  <c r="AY22" i="3"/>
  <c r="BC22" i="3"/>
  <c r="AO22" i="3"/>
  <c r="AS22" i="3"/>
  <c r="AW22" i="3"/>
  <c r="BA22" i="3"/>
  <c r="BE22" i="3"/>
  <c r="AT22" i="3"/>
  <c r="BB22" i="3"/>
  <c r="Y22" i="3"/>
  <c r="AC22" i="3"/>
  <c r="AG22" i="3"/>
  <c r="AK22" i="3"/>
  <c r="AP22" i="3"/>
  <c r="AX22" i="3"/>
  <c r="W22" i="3"/>
  <c r="AA22" i="3"/>
  <c r="AE22" i="3"/>
  <c r="AI22" i="3"/>
  <c r="AM22" i="3"/>
  <c r="AR22" i="3"/>
  <c r="AB22" i="3"/>
  <c r="AJ22" i="3"/>
  <c r="AZ22" i="3"/>
  <c r="X22" i="3"/>
  <c r="AF22" i="3"/>
  <c r="AN22" i="3"/>
  <c r="BD22" i="3"/>
  <c r="Z22" i="3"/>
  <c r="AV22" i="3"/>
  <c r="AD22" i="3"/>
  <c r="AH22" i="3"/>
  <c r="V22" i="3"/>
  <c r="AL22" i="3"/>
  <c r="BY19" i="3"/>
  <c r="CC19" i="3"/>
  <c r="CG19" i="3"/>
  <c r="CK19" i="3"/>
  <c r="CO19" i="3"/>
  <c r="CA19" i="3"/>
  <c r="CE19" i="3"/>
  <c r="CI19" i="3"/>
  <c r="CM19" i="3"/>
  <c r="BX19" i="3"/>
  <c r="CF19" i="3"/>
  <c r="CN19" i="3"/>
  <c r="CB19" i="3"/>
  <c r="CJ19" i="3"/>
  <c r="CD19" i="3"/>
  <c r="CH19" i="3"/>
  <c r="BZ19" i="3"/>
  <c r="CL19" i="3"/>
  <c r="BF19" i="3"/>
  <c r="BJ19" i="3"/>
  <c r="BN19" i="3"/>
  <c r="BR19" i="3"/>
  <c r="BV19" i="3"/>
  <c r="BK19" i="3"/>
  <c r="BP19" i="3"/>
  <c r="BU19" i="3"/>
  <c r="BG19" i="3"/>
  <c r="BL19" i="3"/>
  <c r="BQ19" i="3"/>
  <c r="BW19" i="3"/>
  <c r="BO19" i="3"/>
  <c r="BH19" i="3"/>
  <c r="BS19" i="3"/>
  <c r="BI19" i="3"/>
  <c r="BT19" i="3"/>
  <c r="BM19" i="3"/>
  <c r="AO19" i="3"/>
  <c r="AS19" i="3"/>
  <c r="AW19" i="3"/>
  <c r="BA19" i="3"/>
  <c r="BE19" i="3"/>
  <c r="AQ19" i="3"/>
  <c r="AU19" i="3"/>
  <c r="AY19" i="3"/>
  <c r="BC19" i="3"/>
  <c r="AR19" i="3"/>
  <c r="AZ19" i="3"/>
  <c r="W19" i="3"/>
  <c r="AA19" i="3"/>
  <c r="AE19" i="3"/>
  <c r="AI19" i="3"/>
  <c r="AM19" i="3"/>
  <c r="AN19" i="3"/>
  <c r="AV19" i="3"/>
  <c r="BD19" i="3"/>
  <c r="Y19" i="3"/>
  <c r="AC19" i="3"/>
  <c r="AG19" i="3"/>
  <c r="AK19" i="3"/>
  <c r="AX19" i="3"/>
  <c r="Z19" i="3"/>
  <c r="AH19" i="3"/>
  <c r="AP19" i="3"/>
  <c r="V19" i="3"/>
  <c r="AD19" i="3"/>
  <c r="AL19" i="3"/>
  <c r="AT19" i="3"/>
  <c r="BB19" i="3"/>
  <c r="AF19" i="3"/>
  <c r="AJ19" i="3"/>
  <c r="X19" i="3"/>
  <c r="AB19" i="3"/>
  <c r="CA12" i="3"/>
  <c r="CE12" i="3"/>
  <c r="CI12" i="3"/>
  <c r="CM12" i="3"/>
  <c r="BY12" i="3"/>
  <c r="CC12" i="3"/>
  <c r="CG12" i="3"/>
  <c r="CK12" i="3"/>
  <c r="CO12" i="3"/>
  <c r="BX12" i="3"/>
  <c r="CF12" i="3"/>
  <c r="CN12" i="3"/>
  <c r="CB12" i="3"/>
  <c r="CJ12" i="3"/>
  <c r="CH12" i="3"/>
  <c r="CL12" i="3"/>
  <c r="CD12" i="3"/>
  <c r="BG12" i="3"/>
  <c r="BK12" i="3"/>
  <c r="BO12" i="3"/>
  <c r="BS12" i="3"/>
  <c r="BW12" i="3"/>
  <c r="BZ12" i="3"/>
  <c r="BH12" i="3"/>
  <c r="BL12" i="3"/>
  <c r="BP12" i="3"/>
  <c r="BT12" i="3"/>
  <c r="BF12" i="3"/>
  <c r="BN12" i="3"/>
  <c r="BV12" i="3"/>
  <c r="BI12" i="3"/>
  <c r="BQ12" i="3"/>
  <c r="BR12" i="3"/>
  <c r="BU12" i="3"/>
  <c r="BJ12" i="3"/>
  <c r="BM12" i="3"/>
  <c r="AQ12" i="3"/>
  <c r="AU12" i="3"/>
  <c r="AY12" i="3"/>
  <c r="BC12" i="3"/>
  <c r="AO12" i="3"/>
  <c r="AS12" i="3"/>
  <c r="AW12" i="3"/>
  <c r="BA12" i="3"/>
  <c r="BE12" i="3"/>
  <c r="AR12" i="3"/>
  <c r="AZ12" i="3"/>
  <c r="Y12" i="3"/>
  <c r="AC12" i="3"/>
  <c r="AG12" i="3"/>
  <c r="AK12" i="3"/>
  <c r="AN12" i="3"/>
  <c r="AV12" i="3"/>
  <c r="BD12" i="3"/>
  <c r="W12" i="3"/>
  <c r="AA12" i="3"/>
  <c r="AE12" i="3"/>
  <c r="AI12" i="3"/>
  <c r="AM12" i="3"/>
  <c r="BB12" i="3"/>
  <c r="Z12" i="3"/>
  <c r="AH12" i="3"/>
  <c r="AT12" i="3"/>
  <c r="V12" i="3"/>
  <c r="AD12" i="3"/>
  <c r="AL12" i="3"/>
  <c r="AX12" i="3"/>
  <c r="AJ12" i="3"/>
  <c r="AP12" i="3"/>
  <c r="AF12" i="3"/>
  <c r="X12" i="3"/>
  <c r="CA18" i="3"/>
  <c r="CE18" i="3"/>
  <c r="CI18" i="3"/>
  <c r="CM18" i="3"/>
  <c r="BY18" i="3"/>
  <c r="CC18" i="3"/>
  <c r="CG18" i="3"/>
  <c r="CK18" i="3"/>
  <c r="CO18" i="3"/>
  <c r="BZ18" i="3"/>
  <c r="CH18" i="3"/>
  <c r="CD18" i="3"/>
  <c r="CL18" i="3"/>
  <c r="CF18" i="3"/>
  <c r="CJ18" i="3"/>
  <c r="CB18" i="3"/>
  <c r="BX18" i="3"/>
  <c r="BH18" i="3"/>
  <c r="BL18" i="3"/>
  <c r="BP18" i="3"/>
  <c r="BT18" i="3"/>
  <c r="CN18" i="3"/>
  <c r="BG18" i="3"/>
  <c r="BM18" i="3"/>
  <c r="BR18" i="3"/>
  <c r="BW18" i="3"/>
  <c r="BI18" i="3"/>
  <c r="BN18" i="3"/>
  <c r="BS18" i="3"/>
  <c r="BK18" i="3"/>
  <c r="BV18" i="3"/>
  <c r="BO18" i="3"/>
  <c r="BF18" i="3"/>
  <c r="BQ18" i="3"/>
  <c r="BU18" i="3"/>
  <c r="BJ18" i="3"/>
  <c r="AQ18" i="3"/>
  <c r="AU18" i="3"/>
  <c r="AY18" i="3"/>
  <c r="BC18" i="3"/>
  <c r="AO18" i="3"/>
  <c r="AS18" i="3"/>
  <c r="AW18" i="3"/>
  <c r="BA18" i="3"/>
  <c r="BE18" i="3"/>
  <c r="AT18" i="3"/>
  <c r="BB18" i="3"/>
  <c r="Y18" i="3"/>
  <c r="AC18" i="3"/>
  <c r="AG18" i="3"/>
  <c r="AK18" i="3"/>
  <c r="AP18" i="3"/>
  <c r="AX18" i="3"/>
  <c r="W18" i="3"/>
  <c r="AA18" i="3"/>
  <c r="AE18" i="3"/>
  <c r="AI18" i="3"/>
  <c r="AM18" i="3"/>
  <c r="AZ18" i="3"/>
  <c r="AB18" i="3"/>
  <c r="AJ18" i="3"/>
  <c r="AR18" i="3"/>
  <c r="X18" i="3"/>
  <c r="AF18" i="3"/>
  <c r="AV18" i="3"/>
  <c r="AH18" i="3"/>
  <c r="Z18" i="3"/>
  <c r="V18" i="3"/>
  <c r="AL18" i="3"/>
  <c r="AN18" i="3"/>
  <c r="BD18" i="3"/>
  <c r="AD18" i="3"/>
  <c r="BY23" i="3"/>
  <c r="CC23" i="3"/>
  <c r="CG23" i="3"/>
  <c r="CK23" i="3"/>
  <c r="CO23" i="3"/>
  <c r="CA23" i="3"/>
  <c r="CE23" i="3"/>
  <c r="CI23" i="3"/>
  <c r="CM23" i="3"/>
  <c r="BX23" i="3"/>
  <c r="CF23" i="3"/>
  <c r="CN23" i="3"/>
  <c r="CB23" i="3"/>
  <c r="CJ23" i="3"/>
  <c r="CL23" i="3"/>
  <c r="BZ23" i="3"/>
  <c r="CH23" i="3"/>
  <c r="CD23" i="3"/>
  <c r="BF23" i="3"/>
  <c r="BJ23" i="3"/>
  <c r="BN23" i="3"/>
  <c r="BR23" i="3"/>
  <c r="BV23" i="3"/>
  <c r="BH23" i="3"/>
  <c r="BM23" i="3"/>
  <c r="BS23" i="3"/>
  <c r="BI23" i="3"/>
  <c r="BO23" i="3"/>
  <c r="BT23" i="3"/>
  <c r="BG23" i="3"/>
  <c r="BQ23" i="3"/>
  <c r="BK23" i="3"/>
  <c r="BU23" i="3"/>
  <c r="BL23" i="3"/>
  <c r="BW23" i="3"/>
  <c r="BP23" i="3"/>
  <c r="AO23" i="3"/>
  <c r="AS23" i="3"/>
  <c r="AW23" i="3"/>
  <c r="BA23" i="3"/>
  <c r="BE23" i="3"/>
  <c r="AQ23" i="3"/>
  <c r="AU23" i="3"/>
  <c r="AY23" i="3"/>
  <c r="BC23" i="3"/>
  <c r="AR23" i="3"/>
  <c r="AZ23" i="3"/>
  <c r="W23" i="3"/>
  <c r="AA23" i="3"/>
  <c r="AE23" i="3"/>
  <c r="AI23" i="3"/>
  <c r="AM23" i="3"/>
  <c r="AN23" i="3"/>
  <c r="AV23" i="3"/>
  <c r="BD23" i="3"/>
  <c r="Y23" i="3"/>
  <c r="AC23" i="3"/>
  <c r="AG23" i="3"/>
  <c r="AK23" i="3"/>
  <c r="AP23" i="3"/>
  <c r="Z23" i="3"/>
  <c r="AH23" i="3"/>
  <c r="AX23" i="3"/>
  <c r="V23" i="3"/>
  <c r="AD23" i="3"/>
  <c r="AL23" i="3"/>
  <c r="BB23" i="3"/>
  <c r="AT23" i="3"/>
  <c r="X23" i="3"/>
  <c r="AF23" i="3"/>
  <c r="AB23" i="3"/>
  <c r="AJ23" i="3"/>
  <c r="BY40" i="3"/>
  <c r="CC40" i="3"/>
  <c r="CG40" i="3"/>
  <c r="CK40" i="3"/>
  <c r="CO40" i="3"/>
  <c r="BZ40" i="3"/>
  <c r="CE40" i="3"/>
  <c r="CJ40" i="3"/>
  <c r="CA40" i="3"/>
  <c r="CH40" i="3"/>
  <c r="CN40" i="3"/>
  <c r="CF40" i="3"/>
  <c r="CB40" i="3"/>
  <c r="CL40" i="3"/>
  <c r="CM40" i="3"/>
  <c r="BX40" i="3"/>
  <c r="CD40" i="3"/>
  <c r="BG40" i="3"/>
  <c r="BK40" i="3"/>
  <c r="BO40" i="3"/>
  <c r="BS40" i="3"/>
  <c r="BW40" i="3"/>
  <c r="CI40" i="3"/>
  <c r="BH40" i="3"/>
  <c r="BL40" i="3"/>
  <c r="BP40" i="3"/>
  <c r="BT40" i="3"/>
  <c r="BF40" i="3"/>
  <c r="BN40" i="3"/>
  <c r="BV40" i="3"/>
  <c r="BJ40" i="3"/>
  <c r="BI40" i="3"/>
  <c r="BQ40" i="3"/>
  <c r="BR40" i="3"/>
  <c r="BU40" i="3"/>
  <c r="BM40" i="3"/>
  <c r="AQ40" i="3"/>
  <c r="AU40" i="3"/>
  <c r="AY40" i="3"/>
  <c r="BC40" i="3"/>
  <c r="AO40" i="3"/>
  <c r="AS40" i="3"/>
  <c r="AW40" i="3"/>
  <c r="BA40" i="3"/>
  <c r="BE40" i="3"/>
  <c r="AP40" i="3"/>
  <c r="AX40" i="3"/>
  <c r="AT40" i="3"/>
  <c r="BB40" i="3"/>
  <c r="W40" i="3"/>
  <c r="AA40" i="3"/>
  <c r="AE40" i="3"/>
  <c r="AI40" i="3"/>
  <c r="AM40" i="3"/>
  <c r="AN40" i="3"/>
  <c r="BD40" i="3"/>
  <c r="X40" i="3"/>
  <c r="AC40" i="3"/>
  <c r="AH40" i="3"/>
  <c r="AV40" i="3"/>
  <c r="Z40" i="3"/>
  <c r="AF40" i="3"/>
  <c r="AK40" i="3"/>
  <c r="AZ40" i="3"/>
  <c r="AB40" i="3"/>
  <c r="AL40" i="3"/>
  <c r="V40" i="3"/>
  <c r="AJ40" i="3"/>
  <c r="AD40" i="3"/>
  <c r="AG40" i="3"/>
  <c r="AR40" i="3"/>
  <c r="Y40" i="3"/>
  <c r="BZ64" i="3"/>
  <c r="CD64" i="3"/>
  <c r="CH64" i="3"/>
  <c r="CL64" i="3"/>
  <c r="BX64" i="3"/>
  <c r="CC64" i="3"/>
  <c r="CI64" i="3"/>
  <c r="CN64" i="3"/>
  <c r="CB64" i="3"/>
  <c r="CJ64" i="3"/>
  <c r="BY64" i="3"/>
  <c r="CF64" i="3"/>
  <c r="CM64" i="3"/>
  <c r="CA64" i="3"/>
  <c r="CO64" i="3"/>
  <c r="CE64" i="3"/>
  <c r="BH64" i="3"/>
  <c r="BL64" i="3"/>
  <c r="BP64" i="3"/>
  <c r="BT64" i="3"/>
  <c r="CG64" i="3"/>
  <c r="BG64" i="3"/>
  <c r="BM64" i="3"/>
  <c r="BR64" i="3"/>
  <c r="BW64" i="3"/>
  <c r="BJ64" i="3"/>
  <c r="BU64" i="3"/>
  <c r="CK64" i="3"/>
  <c r="BI64" i="3"/>
  <c r="BN64" i="3"/>
  <c r="BS64" i="3"/>
  <c r="BO64" i="3"/>
  <c r="BV64" i="3"/>
  <c r="BK64" i="3"/>
  <c r="BQ64" i="3"/>
  <c r="BF64" i="3"/>
  <c r="AQ64" i="3"/>
  <c r="AU64" i="3"/>
  <c r="AY64" i="3"/>
  <c r="BC64" i="3"/>
  <c r="AO64" i="3"/>
  <c r="AS64" i="3"/>
  <c r="AW64" i="3"/>
  <c r="BA64" i="3"/>
  <c r="BE64" i="3"/>
  <c r="AP64" i="3"/>
  <c r="AX64" i="3"/>
  <c r="AT64" i="3"/>
  <c r="BB64" i="3"/>
  <c r="W64" i="3"/>
  <c r="AA64" i="3"/>
  <c r="AE64" i="3"/>
  <c r="AI64" i="3"/>
  <c r="AM64" i="3"/>
  <c r="AN64" i="3"/>
  <c r="BD64" i="3"/>
  <c r="X64" i="3"/>
  <c r="AC64" i="3"/>
  <c r="AH64" i="3"/>
  <c r="AV64" i="3"/>
  <c r="Z64" i="3"/>
  <c r="AF64" i="3"/>
  <c r="AK64" i="3"/>
  <c r="V64" i="3"/>
  <c r="AG64" i="3"/>
  <c r="AL64" i="3"/>
  <c r="AR64" i="3"/>
  <c r="Y64" i="3"/>
  <c r="AJ64" i="3"/>
  <c r="AZ64" i="3"/>
  <c r="AD64" i="3"/>
  <c r="BZ68" i="3"/>
  <c r="CD68" i="3"/>
  <c r="CH68" i="3"/>
  <c r="CL68" i="3"/>
  <c r="CA68" i="3"/>
  <c r="CF68" i="3"/>
  <c r="CK68" i="3"/>
  <c r="CB68" i="3"/>
  <c r="CI68" i="3"/>
  <c r="CO68" i="3"/>
  <c r="BX68" i="3"/>
  <c r="CE68" i="3"/>
  <c r="CM68" i="3"/>
  <c r="BY68" i="3"/>
  <c r="CN68" i="3"/>
  <c r="CC68" i="3"/>
  <c r="CG68" i="3"/>
  <c r="CJ68" i="3"/>
  <c r="BH68" i="3"/>
  <c r="BL68" i="3"/>
  <c r="BP68" i="3"/>
  <c r="BT68" i="3"/>
  <c r="BJ68" i="3"/>
  <c r="BO68" i="3"/>
  <c r="BU68" i="3"/>
  <c r="BG68" i="3"/>
  <c r="BR68" i="3"/>
  <c r="BF68" i="3"/>
  <c r="BK68" i="3"/>
  <c r="BQ68" i="3"/>
  <c r="BV68" i="3"/>
  <c r="BM68" i="3"/>
  <c r="BW68" i="3"/>
  <c r="BN68" i="3"/>
  <c r="BS68" i="3"/>
  <c r="AQ68" i="3"/>
  <c r="AU68" i="3"/>
  <c r="AY68" i="3"/>
  <c r="BC68" i="3"/>
  <c r="AO68" i="3"/>
  <c r="AS68" i="3"/>
  <c r="AW68" i="3"/>
  <c r="BA68" i="3"/>
  <c r="BE68" i="3"/>
  <c r="AP68" i="3"/>
  <c r="AX68" i="3"/>
  <c r="AT68" i="3"/>
  <c r="BB68" i="3"/>
  <c r="AV68" i="3"/>
  <c r="Y68" i="3"/>
  <c r="AC68" i="3"/>
  <c r="AG68" i="3"/>
  <c r="AK68" i="3"/>
  <c r="AN68" i="3"/>
  <c r="BD68" i="3"/>
  <c r="W68" i="3"/>
  <c r="AA68" i="3"/>
  <c r="AE68" i="3"/>
  <c r="AI68" i="3"/>
  <c r="AM68" i="3"/>
  <c r="X68" i="3"/>
  <c r="AF68" i="3"/>
  <c r="AJ68" i="3"/>
  <c r="V68" i="3"/>
  <c r="AL68" i="3"/>
  <c r="Z68" i="3"/>
  <c r="AH68" i="3"/>
  <c r="AR68" i="3"/>
  <c r="AB68" i="3"/>
  <c r="AZ68" i="3"/>
  <c r="AD68" i="3"/>
  <c r="CA72" i="3"/>
  <c r="CE72" i="3"/>
  <c r="CI72" i="3"/>
  <c r="CM72" i="3"/>
  <c r="CB72" i="3"/>
  <c r="CG72" i="3"/>
  <c r="CL72" i="3"/>
  <c r="BY72" i="3"/>
  <c r="CD72" i="3"/>
  <c r="CJ72" i="3"/>
  <c r="CO72" i="3"/>
  <c r="BZ72" i="3"/>
  <c r="CK72" i="3"/>
  <c r="CC72" i="3"/>
  <c r="CN72" i="3"/>
  <c r="CF72" i="3"/>
  <c r="CH72" i="3"/>
  <c r="BH72" i="3"/>
  <c r="BL72" i="3"/>
  <c r="BP72" i="3"/>
  <c r="BT72" i="3"/>
  <c r="BG72" i="3"/>
  <c r="BM72" i="3"/>
  <c r="BR72" i="3"/>
  <c r="BW72" i="3"/>
  <c r="BJ72" i="3"/>
  <c r="BU72" i="3"/>
  <c r="BI72" i="3"/>
  <c r="BN72" i="3"/>
  <c r="BS72" i="3"/>
  <c r="BO72" i="3"/>
  <c r="BF72" i="3"/>
  <c r="BX72" i="3"/>
  <c r="BQ72" i="3"/>
  <c r="BV72" i="3"/>
  <c r="AO72" i="3"/>
  <c r="AS72" i="3"/>
  <c r="AW72" i="3"/>
  <c r="BA72" i="3"/>
  <c r="BE72" i="3"/>
  <c r="AR72" i="3"/>
  <c r="AX72" i="3"/>
  <c r="BC72" i="3"/>
  <c r="AP72" i="3"/>
  <c r="AU72" i="3"/>
  <c r="AZ72" i="3"/>
  <c r="AV72" i="3"/>
  <c r="Y72" i="3"/>
  <c r="AC72" i="3"/>
  <c r="AG72" i="3"/>
  <c r="AK72" i="3"/>
  <c r="AQ72" i="3"/>
  <c r="BB72" i="3"/>
  <c r="W72" i="3"/>
  <c r="AA72" i="3"/>
  <c r="AE72" i="3"/>
  <c r="AI72" i="3"/>
  <c r="AM72" i="3"/>
  <c r="BD72" i="3"/>
  <c r="X72" i="3"/>
  <c r="AF72" i="3"/>
  <c r="AB72" i="3"/>
  <c r="AY72" i="3"/>
  <c r="AD72" i="3"/>
  <c r="AN72" i="3"/>
  <c r="Z72" i="3"/>
  <c r="AH72" i="3"/>
  <c r="AT72" i="3"/>
  <c r="AJ72" i="3"/>
  <c r="V72" i="3"/>
  <c r="AL72" i="3"/>
  <c r="CA80" i="3"/>
  <c r="CE80" i="3"/>
  <c r="CI80" i="3"/>
  <c r="CM80" i="3"/>
  <c r="BY80" i="3"/>
  <c r="CC80" i="3"/>
  <c r="CG80" i="3"/>
  <c r="CK80" i="3"/>
  <c r="CO80" i="3"/>
  <c r="CD80" i="3"/>
  <c r="CL80" i="3"/>
  <c r="BX80" i="3"/>
  <c r="CF80" i="3"/>
  <c r="CN80" i="3"/>
  <c r="CH80" i="3"/>
  <c r="CJ80" i="3"/>
  <c r="BH80" i="3"/>
  <c r="BP80" i="3"/>
  <c r="BT80" i="3"/>
  <c r="BZ80" i="3"/>
  <c r="BG80" i="3"/>
  <c r="BM80" i="3"/>
  <c r="BR80" i="3"/>
  <c r="BW80" i="3"/>
  <c r="BJ80" i="3"/>
  <c r="BU80" i="3"/>
  <c r="CB80" i="3"/>
  <c r="BI80" i="3"/>
  <c r="BN80" i="3"/>
  <c r="BS80" i="3"/>
  <c r="BO80" i="3"/>
  <c r="BK80" i="3"/>
  <c r="BV80" i="3"/>
  <c r="BF80" i="3"/>
  <c r="BQ80" i="3"/>
  <c r="AO80" i="3"/>
  <c r="AS80" i="3"/>
  <c r="AW80" i="3"/>
  <c r="BA80" i="3"/>
  <c r="BE80" i="3"/>
  <c r="AR80" i="3"/>
  <c r="AX80" i="3"/>
  <c r="BC80" i="3"/>
  <c r="AP80" i="3"/>
  <c r="AU80" i="3"/>
  <c r="AZ80" i="3"/>
  <c r="AQ80" i="3"/>
  <c r="BB80" i="3"/>
  <c r="Y80" i="3"/>
  <c r="AC80" i="3"/>
  <c r="AG80" i="3"/>
  <c r="AK80" i="3"/>
  <c r="AV80" i="3"/>
  <c r="W80" i="3"/>
  <c r="AA80" i="3"/>
  <c r="AE80" i="3"/>
  <c r="AI80" i="3"/>
  <c r="AM80" i="3"/>
  <c r="AN80" i="3"/>
  <c r="X80" i="3"/>
  <c r="AF80" i="3"/>
  <c r="AY80" i="3"/>
  <c r="AB80" i="3"/>
  <c r="AD80" i="3"/>
  <c r="AL80" i="3"/>
  <c r="AT80" i="3"/>
  <c r="Z80" i="3"/>
  <c r="AH80" i="3"/>
  <c r="AJ80" i="3"/>
  <c r="BD80" i="3"/>
  <c r="V80" i="3"/>
  <c r="CA88" i="3"/>
  <c r="CE88" i="3"/>
  <c r="CI88" i="3"/>
  <c r="CM88" i="3"/>
  <c r="BY88" i="3"/>
  <c r="CC88" i="3"/>
  <c r="CG88" i="3"/>
  <c r="CK88" i="3"/>
  <c r="CO88" i="3"/>
  <c r="CD88" i="3"/>
  <c r="CL88" i="3"/>
  <c r="BX88" i="3"/>
  <c r="CF88" i="3"/>
  <c r="CN88" i="3"/>
  <c r="CH88" i="3"/>
  <c r="CJ88" i="3"/>
  <c r="BL88" i="3"/>
  <c r="BP88" i="3"/>
  <c r="BT88" i="3"/>
  <c r="BG88" i="3"/>
  <c r="BM88" i="3"/>
  <c r="BR88" i="3"/>
  <c r="BW88" i="3"/>
  <c r="BJ88" i="3"/>
  <c r="BU88" i="3"/>
  <c r="BI88" i="3"/>
  <c r="BN88" i="3"/>
  <c r="BS88" i="3"/>
  <c r="BZ88" i="3"/>
  <c r="BO88" i="3"/>
  <c r="BQ88" i="3"/>
  <c r="BV88" i="3"/>
  <c r="CB88" i="3"/>
  <c r="BF88" i="3"/>
  <c r="BK88" i="3"/>
  <c r="AO88" i="3"/>
  <c r="AS88" i="3"/>
  <c r="AW88" i="3"/>
  <c r="BA88" i="3"/>
  <c r="BE88" i="3"/>
  <c r="AQ88" i="3"/>
  <c r="AU88" i="3"/>
  <c r="AY88" i="3"/>
  <c r="BC88" i="3"/>
  <c r="AN88" i="3"/>
  <c r="AV88" i="3"/>
  <c r="BD88" i="3"/>
  <c r="Y88" i="3"/>
  <c r="AC88" i="3"/>
  <c r="AG88" i="3"/>
  <c r="AK88" i="3"/>
  <c r="AR88" i="3"/>
  <c r="AZ88" i="3"/>
  <c r="W88" i="3"/>
  <c r="AA88" i="3"/>
  <c r="AE88" i="3"/>
  <c r="AI88" i="3"/>
  <c r="AM88" i="3"/>
  <c r="BB88" i="3"/>
  <c r="X88" i="3"/>
  <c r="AF88" i="3"/>
  <c r="AT88" i="3"/>
  <c r="AJ88" i="3"/>
  <c r="AX88" i="3"/>
  <c r="V88" i="3"/>
  <c r="AD88" i="3"/>
  <c r="AP88" i="3"/>
  <c r="Z88" i="3"/>
  <c r="AH88" i="3"/>
  <c r="AB88" i="3"/>
  <c r="AL88" i="3"/>
  <c r="CN6" i="3"/>
  <c r="CJ6" i="3"/>
  <c r="CF6" i="3"/>
  <c r="CB6" i="3"/>
  <c r="BX6" i="3"/>
  <c r="CM6" i="3"/>
  <c r="CI6" i="3"/>
  <c r="CE6" i="3"/>
  <c r="CA6" i="3"/>
  <c r="CK6" i="3"/>
  <c r="CC6" i="3"/>
  <c r="CH6" i="3"/>
  <c r="BZ6" i="3"/>
  <c r="CG6" i="3"/>
  <c r="BT6" i="3"/>
  <c r="CD6" i="3"/>
  <c r="BW6" i="3"/>
  <c r="BS6" i="3"/>
  <c r="CO6" i="3"/>
  <c r="BY6" i="3"/>
  <c r="CL6" i="3"/>
  <c r="BV6" i="3"/>
  <c r="BR6" i="3"/>
  <c r="BQ6" i="3"/>
  <c r="BU6" i="3"/>
  <c r="BP6" i="3"/>
  <c r="BH6" i="3"/>
  <c r="BN6" i="3"/>
  <c r="BJ6" i="3"/>
  <c r="BF6" i="3"/>
  <c r="BO6" i="3"/>
  <c r="BG6" i="3"/>
  <c r="BB6" i="3"/>
  <c r="AX6" i="3"/>
  <c r="AT6" i="3"/>
  <c r="AP6" i="3"/>
  <c r="BK6" i="3"/>
  <c r="BD6" i="3"/>
  <c r="AZ6" i="3"/>
  <c r="AV6" i="3"/>
  <c r="AR6" i="3"/>
  <c r="AN6" i="3"/>
  <c r="BM6" i="3"/>
  <c r="BE6" i="3"/>
  <c r="AW6" i="3"/>
  <c r="AO6" i="3"/>
  <c r="AL6" i="3"/>
  <c r="BA6" i="3"/>
  <c r="AS6" i="3"/>
  <c r="AJ6" i="3"/>
  <c r="AF6" i="3"/>
  <c r="AB6" i="3"/>
  <c r="BI6" i="3"/>
  <c r="AU6" i="3"/>
  <c r="AK6" i="3"/>
  <c r="AE6" i="3"/>
  <c r="Z6" i="3"/>
  <c r="AH6" i="3"/>
  <c r="AY6" i="3"/>
  <c r="AA6" i="3"/>
  <c r="AQ6" i="3"/>
  <c r="AI6" i="3"/>
  <c r="AD6" i="3"/>
  <c r="Y6" i="3"/>
  <c r="BC6" i="3"/>
  <c r="AC6" i="3"/>
  <c r="AM6" i="3"/>
  <c r="AG6" i="3"/>
  <c r="BY11" i="3"/>
  <c r="CC11" i="3"/>
  <c r="CG11" i="3"/>
  <c r="CK11" i="3"/>
  <c r="CO11" i="3"/>
  <c r="CA11" i="3"/>
  <c r="CE11" i="3"/>
  <c r="CI11" i="3"/>
  <c r="CM11" i="3"/>
  <c r="BZ11" i="3"/>
  <c r="CH11" i="3"/>
  <c r="CD11" i="3"/>
  <c r="CL11" i="3"/>
  <c r="CJ11" i="3"/>
  <c r="BX11" i="3"/>
  <c r="CN11" i="3"/>
  <c r="CB11" i="3"/>
  <c r="CF11" i="3"/>
  <c r="BI11" i="3"/>
  <c r="BM11" i="3"/>
  <c r="BQ11" i="3"/>
  <c r="BU11" i="3"/>
  <c r="BF11" i="3"/>
  <c r="BJ11" i="3"/>
  <c r="BN11" i="3"/>
  <c r="BR11" i="3"/>
  <c r="BV11" i="3"/>
  <c r="BH11" i="3"/>
  <c r="BP11" i="3"/>
  <c r="BK11" i="3"/>
  <c r="BS11" i="3"/>
  <c r="BT11" i="3"/>
  <c r="BG11" i="3"/>
  <c r="BW11" i="3"/>
  <c r="BL11" i="3"/>
  <c r="BO11" i="3"/>
  <c r="AO11" i="3"/>
  <c r="AS11" i="3"/>
  <c r="AW11" i="3"/>
  <c r="BA11" i="3"/>
  <c r="BE11" i="3"/>
  <c r="AQ11" i="3"/>
  <c r="AU11" i="3"/>
  <c r="AY11" i="3"/>
  <c r="BC11" i="3"/>
  <c r="AT11" i="3"/>
  <c r="BB11" i="3"/>
  <c r="W11" i="3"/>
  <c r="AA11" i="3"/>
  <c r="AE11" i="3"/>
  <c r="AI11" i="3"/>
  <c r="AM11" i="3"/>
  <c r="AP11" i="3"/>
  <c r="AX11" i="3"/>
  <c r="Y11" i="3"/>
  <c r="AC11" i="3"/>
  <c r="AG11" i="3"/>
  <c r="AK11" i="3"/>
  <c r="AN11" i="3"/>
  <c r="BD11" i="3"/>
  <c r="AB11" i="3"/>
  <c r="AJ11" i="3"/>
  <c r="AV11" i="3"/>
  <c r="AF11" i="3"/>
  <c r="AZ11" i="3"/>
  <c r="V11" i="3"/>
  <c r="AL11" i="3"/>
  <c r="AR11" i="3"/>
  <c r="Z11" i="3"/>
  <c r="AD11" i="3"/>
  <c r="AH11" i="3"/>
  <c r="CA8" i="3"/>
  <c r="CE8" i="3"/>
  <c r="CI8" i="3"/>
  <c r="CM8" i="3"/>
  <c r="BY8" i="3"/>
  <c r="CC8" i="3"/>
  <c r="CG8" i="3"/>
  <c r="CK8" i="3"/>
  <c r="CO8" i="3"/>
  <c r="BX8" i="3"/>
  <c r="CF8" i="3"/>
  <c r="CN8" i="3"/>
  <c r="CB8" i="3"/>
  <c r="CJ8" i="3"/>
  <c r="BZ8" i="3"/>
  <c r="CD8" i="3"/>
  <c r="CH8" i="3"/>
  <c r="CL8" i="3"/>
  <c r="BG8" i="3"/>
  <c r="BK8" i="3"/>
  <c r="BO8" i="3"/>
  <c r="BS8" i="3"/>
  <c r="BW8" i="3"/>
  <c r="BH8" i="3"/>
  <c r="BP8" i="3"/>
  <c r="BT8" i="3"/>
  <c r="BF8" i="3"/>
  <c r="BN8" i="3"/>
  <c r="BV8" i="3"/>
  <c r="BI8" i="3"/>
  <c r="BQ8" i="3"/>
  <c r="BJ8" i="3"/>
  <c r="BR8" i="3"/>
  <c r="BM8" i="3"/>
  <c r="BU8" i="3"/>
  <c r="AQ8" i="3"/>
  <c r="AU8" i="3"/>
  <c r="AY8" i="3"/>
  <c r="BC8" i="3"/>
  <c r="AO8" i="3"/>
  <c r="AS8" i="3"/>
  <c r="AW8" i="3"/>
  <c r="BA8" i="3"/>
  <c r="BE8" i="3"/>
  <c r="AR8" i="3"/>
  <c r="AZ8" i="3"/>
  <c r="Y8" i="3"/>
  <c r="AC8" i="3"/>
  <c r="AG8" i="3"/>
  <c r="AK8" i="3"/>
  <c r="AN8" i="3"/>
  <c r="AV8" i="3"/>
  <c r="BD8" i="3"/>
  <c r="W8" i="3"/>
  <c r="AA8" i="3"/>
  <c r="AE8" i="3"/>
  <c r="AI8" i="3"/>
  <c r="AM8" i="3"/>
  <c r="AT8" i="3"/>
  <c r="Z8" i="3"/>
  <c r="AH8" i="3"/>
  <c r="BB8" i="3"/>
  <c r="V8" i="3"/>
  <c r="AD8" i="3"/>
  <c r="AL8" i="3"/>
  <c r="AP8" i="3"/>
  <c r="AB8" i="3"/>
  <c r="AJ8" i="3"/>
  <c r="AF8" i="3"/>
  <c r="AX8" i="3"/>
  <c r="X8" i="3"/>
  <c r="BY21" i="3"/>
  <c r="CC21" i="3"/>
  <c r="CG21" i="3"/>
  <c r="CK21" i="3"/>
  <c r="CO21" i="3"/>
  <c r="CA21" i="3"/>
  <c r="CE21" i="3"/>
  <c r="CI21" i="3"/>
  <c r="CM21" i="3"/>
  <c r="CB21" i="3"/>
  <c r="CJ21" i="3"/>
  <c r="BX21" i="3"/>
  <c r="CF21" i="3"/>
  <c r="CN21" i="3"/>
  <c r="BZ21" i="3"/>
  <c r="CD21" i="3"/>
  <c r="CL21" i="3"/>
  <c r="CH21" i="3"/>
  <c r="BF21" i="3"/>
  <c r="BJ21" i="3"/>
  <c r="BN21" i="3"/>
  <c r="BR21" i="3"/>
  <c r="BV21" i="3"/>
  <c r="BG21" i="3"/>
  <c r="BL21" i="3"/>
  <c r="BQ21" i="3"/>
  <c r="BW21" i="3"/>
  <c r="BH21" i="3"/>
  <c r="BM21" i="3"/>
  <c r="BS21" i="3"/>
  <c r="BK21" i="3"/>
  <c r="BU21" i="3"/>
  <c r="BO21" i="3"/>
  <c r="BP21" i="3"/>
  <c r="BI21" i="3"/>
  <c r="BT21" i="3"/>
  <c r="AO21" i="3"/>
  <c r="AS21" i="3"/>
  <c r="AW21" i="3"/>
  <c r="BA21" i="3"/>
  <c r="BE21" i="3"/>
  <c r="AQ21" i="3"/>
  <c r="AU21" i="3"/>
  <c r="AY21" i="3"/>
  <c r="BC21" i="3"/>
  <c r="AN21" i="3"/>
  <c r="AV21" i="3"/>
  <c r="BD21" i="3"/>
  <c r="W21" i="3"/>
  <c r="AA21" i="3"/>
  <c r="AE21" i="3"/>
  <c r="AI21" i="3"/>
  <c r="AM21" i="3"/>
  <c r="AR21" i="3"/>
  <c r="AZ21" i="3"/>
  <c r="Y21" i="3"/>
  <c r="AC21" i="3"/>
  <c r="AG21" i="3"/>
  <c r="AK21" i="3"/>
  <c r="AT21" i="3"/>
  <c r="V21" i="3"/>
  <c r="AD21" i="3"/>
  <c r="AL21" i="3"/>
  <c r="BB21" i="3"/>
  <c r="Z21" i="3"/>
  <c r="AH21" i="3"/>
  <c r="AP21" i="3"/>
  <c r="AB21" i="3"/>
  <c r="AJ21" i="3"/>
  <c r="AF21" i="3"/>
  <c r="AX21" i="3"/>
  <c r="X21" i="3"/>
  <c r="BY9" i="3"/>
  <c r="CC9" i="3"/>
  <c r="CG9" i="3"/>
  <c r="CK9" i="3"/>
  <c r="CO9" i="3"/>
  <c r="CA9" i="3"/>
  <c r="CE9" i="3"/>
  <c r="CI9" i="3"/>
  <c r="CM9" i="3"/>
  <c r="CD9" i="3"/>
  <c r="CL9" i="3"/>
  <c r="BZ9" i="3"/>
  <c r="CH9" i="3"/>
  <c r="BX9" i="3"/>
  <c r="CN9" i="3"/>
  <c r="CB9" i="3"/>
  <c r="CF9" i="3"/>
  <c r="CJ9" i="3"/>
  <c r="BI9" i="3"/>
  <c r="BM9" i="3"/>
  <c r="BQ9" i="3"/>
  <c r="BU9" i="3"/>
  <c r="BF9" i="3"/>
  <c r="BJ9" i="3"/>
  <c r="BN9" i="3"/>
  <c r="BR9" i="3"/>
  <c r="BV9" i="3"/>
  <c r="BT9" i="3"/>
  <c r="BG9" i="3"/>
  <c r="BO9" i="3"/>
  <c r="BW9" i="3"/>
  <c r="BH9" i="3"/>
  <c r="BK9" i="3"/>
  <c r="BP9" i="3"/>
  <c r="BS9" i="3"/>
  <c r="AO9" i="3"/>
  <c r="AS9" i="3"/>
  <c r="AW9" i="3"/>
  <c r="BA9" i="3"/>
  <c r="BE9" i="3"/>
  <c r="AQ9" i="3"/>
  <c r="AU9" i="3"/>
  <c r="AY9" i="3"/>
  <c r="BC9" i="3"/>
  <c r="AP9" i="3"/>
  <c r="AX9" i="3"/>
  <c r="W9" i="3"/>
  <c r="AA9" i="3"/>
  <c r="AE9" i="3"/>
  <c r="AI9" i="3"/>
  <c r="AM9" i="3"/>
  <c r="AT9" i="3"/>
  <c r="BB9" i="3"/>
  <c r="Y9" i="3"/>
  <c r="AC9" i="3"/>
  <c r="AG9" i="3"/>
  <c r="AK9" i="3"/>
  <c r="AR9" i="3"/>
  <c r="X9" i="3"/>
  <c r="AF9" i="3"/>
  <c r="AZ9" i="3"/>
  <c r="AB9" i="3"/>
  <c r="AJ9" i="3"/>
  <c r="AN9" i="3"/>
  <c r="BD9" i="3"/>
  <c r="Z9" i="3"/>
  <c r="V9" i="3"/>
  <c r="AD9" i="3"/>
  <c r="AH9" i="3"/>
  <c r="AV9" i="3"/>
  <c r="AL9" i="3"/>
  <c r="BY26" i="3"/>
  <c r="CC26" i="3"/>
  <c r="CG26" i="3"/>
  <c r="CK26" i="3"/>
  <c r="CA26" i="3"/>
  <c r="CF26" i="3"/>
  <c r="CL26" i="3"/>
  <c r="BX26" i="3"/>
  <c r="CD26" i="3"/>
  <c r="CI26" i="3"/>
  <c r="CN26" i="3"/>
  <c r="CB26" i="3"/>
  <c r="CM26" i="3"/>
  <c r="CE26" i="3"/>
  <c r="CO26" i="3"/>
  <c r="CH26" i="3"/>
  <c r="CJ26" i="3"/>
  <c r="BH26" i="3"/>
  <c r="BL26" i="3"/>
  <c r="BP26" i="3"/>
  <c r="BT26" i="3"/>
  <c r="BG26" i="3"/>
  <c r="BM26" i="3"/>
  <c r="BR26" i="3"/>
  <c r="BW26" i="3"/>
  <c r="BI26" i="3"/>
  <c r="BN26" i="3"/>
  <c r="BS26" i="3"/>
  <c r="BF26" i="3"/>
  <c r="BQ26" i="3"/>
  <c r="BK26" i="3"/>
  <c r="BJ26" i="3"/>
  <c r="BU26" i="3"/>
  <c r="BV26" i="3"/>
  <c r="BZ26" i="3"/>
  <c r="BO26" i="3"/>
  <c r="AQ26" i="3"/>
  <c r="AU26" i="3"/>
  <c r="AY26" i="3"/>
  <c r="BC26" i="3"/>
  <c r="AO26" i="3"/>
  <c r="AS26" i="3"/>
  <c r="AW26" i="3"/>
  <c r="BA26" i="3"/>
  <c r="BE26" i="3"/>
  <c r="AT26" i="3"/>
  <c r="BB26" i="3"/>
  <c r="Y26" i="3"/>
  <c r="AC26" i="3"/>
  <c r="AG26" i="3"/>
  <c r="AK26" i="3"/>
  <c r="AP26" i="3"/>
  <c r="AX26" i="3"/>
  <c r="W26" i="3"/>
  <c r="AA26" i="3"/>
  <c r="AE26" i="3"/>
  <c r="AI26" i="3"/>
  <c r="AM26" i="3"/>
  <c r="AZ26" i="3"/>
  <c r="AB26" i="3"/>
  <c r="AJ26" i="3"/>
  <c r="AR26" i="3"/>
  <c r="X26" i="3"/>
  <c r="AF26" i="3"/>
  <c r="AV26" i="3"/>
  <c r="BD26" i="3"/>
  <c r="AH26" i="3"/>
  <c r="V26" i="3"/>
  <c r="AL26" i="3"/>
  <c r="Z26" i="3"/>
  <c r="AN26" i="3"/>
  <c r="AD26" i="3"/>
  <c r="BZ28" i="3"/>
  <c r="CD28" i="3"/>
  <c r="CH28" i="3"/>
  <c r="CL28" i="3"/>
  <c r="BX28" i="3"/>
  <c r="CB28" i="3"/>
  <c r="CF28" i="3"/>
  <c r="CJ28" i="3"/>
  <c r="CN28" i="3"/>
  <c r="CA28" i="3"/>
  <c r="CI28" i="3"/>
  <c r="CC28" i="3"/>
  <c r="CM28" i="3"/>
  <c r="CG28" i="3"/>
  <c r="BY28" i="3"/>
  <c r="CK28" i="3"/>
  <c r="CO28" i="3"/>
  <c r="BH28" i="3"/>
  <c r="BL28" i="3"/>
  <c r="BP28" i="3"/>
  <c r="BI28" i="3"/>
  <c r="BN28" i="3"/>
  <c r="BS28" i="3"/>
  <c r="BW28" i="3"/>
  <c r="CE28" i="3"/>
  <c r="BJ28" i="3"/>
  <c r="BO28" i="3"/>
  <c r="BT28" i="3"/>
  <c r="BM28" i="3"/>
  <c r="BV28" i="3"/>
  <c r="BR28" i="3"/>
  <c r="BF28" i="3"/>
  <c r="BQ28" i="3"/>
  <c r="BG28" i="3"/>
  <c r="BK28" i="3"/>
  <c r="BU28" i="3"/>
  <c r="AQ28" i="3"/>
  <c r="AU28" i="3"/>
  <c r="AY28" i="3"/>
  <c r="BC28" i="3"/>
  <c r="AO28" i="3"/>
  <c r="AS28" i="3"/>
  <c r="AW28" i="3"/>
  <c r="BA28" i="3"/>
  <c r="BE28" i="3"/>
  <c r="AP28" i="3"/>
  <c r="AX28" i="3"/>
  <c r="Y28" i="3"/>
  <c r="AC28" i="3"/>
  <c r="AG28" i="3"/>
  <c r="AK28" i="3"/>
  <c r="AT28" i="3"/>
  <c r="BB28" i="3"/>
  <c r="W28" i="3"/>
  <c r="AA28" i="3"/>
  <c r="AE28" i="3"/>
  <c r="AI28" i="3"/>
  <c r="AM28" i="3"/>
  <c r="AV28" i="3"/>
  <c r="X28" i="3"/>
  <c r="AF28" i="3"/>
  <c r="AN28" i="3"/>
  <c r="BD28" i="3"/>
  <c r="AB28" i="3"/>
  <c r="AJ28" i="3"/>
  <c r="AR28" i="3"/>
  <c r="AD28" i="3"/>
  <c r="AL28" i="3"/>
  <c r="Z28" i="3"/>
  <c r="AH28" i="3"/>
  <c r="AZ28" i="3"/>
  <c r="V28" i="3"/>
  <c r="BZ30" i="3"/>
  <c r="CD30" i="3"/>
  <c r="CH30" i="3"/>
  <c r="CL30" i="3"/>
  <c r="BX30" i="3"/>
  <c r="CB30" i="3"/>
  <c r="CF30" i="3"/>
  <c r="CJ30" i="3"/>
  <c r="CN30" i="3"/>
  <c r="CE30" i="3"/>
  <c r="CM30" i="3"/>
  <c r="BY30" i="3"/>
  <c r="CI30" i="3"/>
  <c r="CA30" i="3"/>
  <c r="CO30" i="3"/>
  <c r="CC30" i="3"/>
  <c r="CK30" i="3"/>
  <c r="BG30" i="3"/>
  <c r="BK30" i="3"/>
  <c r="BO30" i="3"/>
  <c r="BS30" i="3"/>
  <c r="BW30" i="3"/>
  <c r="BH30" i="3"/>
  <c r="BL30" i="3"/>
  <c r="BP30" i="3"/>
  <c r="BT30" i="3"/>
  <c r="BJ30" i="3"/>
  <c r="BR30" i="3"/>
  <c r="BN30" i="3"/>
  <c r="CG30" i="3"/>
  <c r="BM30" i="3"/>
  <c r="BU30" i="3"/>
  <c r="BF30" i="3"/>
  <c r="BV30" i="3"/>
  <c r="BI30" i="3"/>
  <c r="BQ30" i="3"/>
  <c r="AQ30" i="3"/>
  <c r="AU30" i="3"/>
  <c r="AY30" i="3"/>
  <c r="BC30" i="3"/>
  <c r="AO30" i="3"/>
  <c r="AS30" i="3"/>
  <c r="AW30" i="3"/>
  <c r="BA30" i="3"/>
  <c r="BE30" i="3"/>
  <c r="AT30" i="3"/>
  <c r="BB30" i="3"/>
  <c r="Y30" i="3"/>
  <c r="AC30" i="3"/>
  <c r="AG30" i="3"/>
  <c r="AK30" i="3"/>
  <c r="AP30" i="3"/>
  <c r="AX30" i="3"/>
  <c r="W30" i="3"/>
  <c r="AA30" i="3"/>
  <c r="AE30" i="3"/>
  <c r="AI30" i="3"/>
  <c r="AM30" i="3"/>
  <c r="AR30" i="3"/>
  <c r="AB30" i="3"/>
  <c r="AJ30" i="3"/>
  <c r="AZ30" i="3"/>
  <c r="X30" i="3"/>
  <c r="AF30" i="3"/>
  <c r="AN30" i="3"/>
  <c r="BD30" i="3"/>
  <c r="AV30" i="3"/>
  <c r="AH30" i="3"/>
  <c r="AL30" i="3"/>
  <c r="AD30" i="3"/>
  <c r="V30" i="3"/>
  <c r="BZ32" i="3"/>
  <c r="CD32" i="3"/>
  <c r="CH32" i="3"/>
  <c r="CL32" i="3"/>
  <c r="BX32" i="3"/>
  <c r="CB32" i="3"/>
  <c r="CF32" i="3"/>
  <c r="CJ32" i="3"/>
  <c r="CN32" i="3"/>
  <c r="CA32" i="3"/>
  <c r="CI32" i="3"/>
  <c r="CE32" i="3"/>
  <c r="CO32" i="3"/>
  <c r="CG32" i="3"/>
  <c r="CC32" i="3"/>
  <c r="CM32" i="3"/>
  <c r="BY32" i="3"/>
  <c r="BG32" i="3"/>
  <c r="BK32" i="3"/>
  <c r="BO32" i="3"/>
  <c r="BS32" i="3"/>
  <c r="BW32" i="3"/>
  <c r="CK32" i="3"/>
  <c r="BH32" i="3"/>
  <c r="BL32" i="3"/>
  <c r="BP32" i="3"/>
  <c r="BT32" i="3"/>
  <c r="BF32" i="3"/>
  <c r="BN32" i="3"/>
  <c r="BV32" i="3"/>
  <c r="BJ32" i="3"/>
  <c r="BI32" i="3"/>
  <c r="BQ32" i="3"/>
  <c r="BR32" i="3"/>
  <c r="BU32" i="3"/>
  <c r="BM32" i="3"/>
  <c r="AQ32" i="3"/>
  <c r="AU32" i="3"/>
  <c r="AY32" i="3"/>
  <c r="BC32" i="3"/>
  <c r="AO32" i="3"/>
  <c r="AS32" i="3"/>
  <c r="AW32" i="3"/>
  <c r="BA32" i="3"/>
  <c r="BE32" i="3"/>
  <c r="AP32" i="3"/>
  <c r="AX32" i="3"/>
  <c r="Y32" i="3"/>
  <c r="AC32" i="3"/>
  <c r="AG32" i="3"/>
  <c r="AK32" i="3"/>
  <c r="AT32" i="3"/>
  <c r="BB32" i="3"/>
  <c r="W32" i="3"/>
  <c r="AA32" i="3"/>
  <c r="AE32" i="3"/>
  <c r="AI32" i="3"/>
  <c r="AM32" i="3"/>
  <c r="AN32" i="3"/>
  <c r="BD32" i="3"/>
  <c r="AF32" i="3"/>
  <c r="AV32" i="3"/>
  <c r="AB32" i="3"/>
  <c r="AJ32" i="3"/>
  <c r="AZ32" i="3"/>
  <c r="V32" i="3"/>
  <c r="AL32" i="3"/>
  <c r="AD32" i="3"/>
  <c r="AH32" i="3"/>
  <c r="Z32" i="3"/>
  <c r="AR32" i="3"/>
  <c r="BX35" i="3"/>
  <c r="CB35" i="3"/>
  <c r="CF35" i="3"/>
  <c r="CJ35" i="3"/>
  <c r="BZ35" i="3"/>
  <c r="CD35" i="3"/>
  <c r="CH35" i="3"/>
  <c r="CL35" i="3"/>
  <c r="CC35" i="3"/>
  <c r="CK35" i="3"/>
  <c r="CE35" i="3"/>
  <c r="CN35" i="3"/>
  <c r="CI35" i="3"/>
  <c r="CG35" i="3"/>
  <c r="BY35" i="3"/>
  <c r="CO35" i="3"/>
  <c r="CA35" i="3"/>
  <c r="CM35" i="3"/>
  <c r="BM35" i="3"/>
  <c r="BQ35" i="3"/>
  <c r="BU35" i="3"/>
  <c r="BF35" i="3"/>
  <c r="BJ35" i="3"/>
  <c r="BN35" i="3"/>
  <c r="BR35" i="3"/>
  <c r="BV35" i="3"/>
  <c r="BH35" i="3"/>
  <c r="BP35" i="3"/>
  <c r="BT35" i="3"/>
  <c r="BK35" i="3"/>
  <c r="BS35" i="3"/>
  <c r="BL35" i="3"/>
  <c r="BO35" i="3"/>
  <c r="BG35" i="3"/>
  <c r="BW35" i="3"/>
  <c r="AO35" i="3"/>
  <c r="AS35" i="3"/>
  <c r="AW35" i="3"/>
  <c r="BA35" i="3"/>
  <c r="BE35" i="3"/>
  <c r="AQ35" i="3"/>
  <c r="AU35" i="3"/>
  <c r="AY35" i="3"/>
  <c r="BC35" i="3"/>
  <c r="AR35" i="3"/>
  <c r="AZ35" i="3"/>
  <c r="AN35" i="3"/>
  <c r="AV35" i="3"/>
  <c r="BD35" i="3"/>
  <c r="Y35" i="3"/>
  <c r="AC35" i="3"/>
  <c r="AG35" i="3"/>
  <c r="AK35" i="3"/>
  <c r="AX35" i="3"/>
  <c r="W35" i="3"/>
  <c r="AB35" i="3"/>
  <c r="AH35" i="3"/>
  <c r="AM35" i="3"/>
  <c r="AP35" i="3"/>
  <c r="Z35" i="3"/>
  <c r="AE35" i="3"/>
  <c r="AJ35" i="3"/>
  <c r="AT35" i="3"/>
  <c r="V35" i="3"/>
  <c r="AF35" i="3"/>
  <c r="AA35" i="3"/>
  <c r="AD35" i="3"/>
  <c r="X35" i="3"/>
  <c r="AI35" i="3"/>
  <c r="BB35" i="3"/>
  <c r="AL35" i="3"/>
  <c r="CA37" i="3"/>
  <c r="CE37" i="3"/>
  <c r="CI37" i="3"/>
  <c r="CM37" i="3"/>
  <c r="BZ37" i="3"/>
  <c r="CF37" i="3"/>
  <c r="CK37" i="3"/>
  <c r="BX37" i="3"/>
  <c r="CD37" i="3"/>
  <c r="CL37" i="3"/>
  <c r="CC37" i="3"/>
  <c r="CN37" i="3"/>
  <c r="BY37" i="3"/>
  <c r="CH37" i="3"/>
  <c r="CJ37" i="3"/>
  <c r="CO37" i="3"/>
  <c r="BI37" i="3"/>
  <c r="BM37" i="3"/>
  <c r="BQ37" i="3"/>
  <c r="BU37" i="3"/>
  <c r="BF37" i="3"/>
  <c r="BJ37" i="3"/>
  <c r="BN37" i="3"/>
  <c r="BR37" i="3"/>
  <c r="BV37" i="3"/>
  <c r="CB37" i="3"/>
  <c r="BL37" i="3"/>
  <c r="BT37" i="3"/>
  <c r="BP37" i="3"/>
  <c r="CG37" i="3"/>
  <c r="BG37" i="3"/>
  <c r="BO37" i="3"/>
  <c r="BW37" i="3"/>
  <c r="BH37" i="3"/>
  <c r="BK37" i="3"/>
  <c r="BS37" i="3"/>
  <c r="AO37" i="3"/>
  <c r="AS37" i="3"/>
  <c r="AW37" i="3"/>
  <c r="BA37" i="3"/>
  <c r="BE37" i="3"/>
  <c r="AQ37" i="3"/>
  <c r="AU37" i="3"/>
  <c r="AY37" i="3"/>
  <c r="BC37" i="3"/>
  <c r="AN37" i="3"/>
  <c r="AV37" i="3"/>
  <c r="BD37" i="3"/>
  <c r="AR37" i="3"/>
  <c r="AZ37" i="3"/>
  <c r="Y37" i="3"/>
  <c r="AC37" i="3"/>
  <c r="AG37" i="3"/>
  <c r="AK37" i="3"/>
  <c r="AT37" i="3"/>
  <c r="X37" i="3"/>
  <c r="AD37" i="3"/>
  <c r="AI37" i="3"/>
  <c r="BB37" i="3"/>
  <c r="V37" i="3"/>
  <c r="AA37" i="3"/>
  <c r="AF37" i="3"/>
  <c r="AL37" i="3"/>
  <c r="AP37" i="3"/>
  <c r="AX37" i="3"/>
  <c r="AB37" i="3"/>
  <c r="AM37" i="3"/>
  <c r="AH37" i="3"/>
  <c r="AJ37" i="3"/>
  <c r="AE37" i="3"/>
  <c r="W37" i="3"/>
  <c r="Z37" i="3"/>
  <c r="CA39" i="3"/>
  <c r="CE39" i="3"/>
  <c r="CI39" i="3"/>
  <c r="CM39" i="3"/>
  <c r="CB39" i="3"/>
  <c r="CG39" i="3"/>
  <c r="CL39" i="3"/>
  <c r="BX39" i="3"/>
  <c r="CD39" i="3"/>
  <c r="CK39" i="3"/>
  <c r="CF39" i="3"/>
  <c r="CO39" i="3"/>
  <c r="BZ39" i="3"/>
  <c r="CJ39" i="3"/>
  <c r="CN39" i="3"/>
  <c r="BY39" i="3"/>
  <c r="BI39" i="3"/>
  <c r="BM39" i="3"/>
  <c r="BQ39" i="3"/>
  <c r="BU39" i="3"/>
  <c r="BF39" i="3"/>
  <c r="BJ39" i="3"/>
  <c r="BN39" i="3"/>
  <c r="BR39" i="3"/>
  <c r="BV39" i="3"/>
  <c r="BH39" i="3"/>
  <c r="BP39" i="3"/>
  <c r="BL39" i="3"/>
  <c r="BK39" i="3"/>
  <c r="BS39" i="3"/>
  <c r="CC39" i="3"/>
  <c r="BT39" i="3"/>
  <c r="CH39" i="3"/>
  <c r="BG39" i="3"/>
  <c r="BW39" i="3"/>
  <c r="BO39" i="3"/>
  <c r="AO39" i="3"/>
  <c r="AS39" i="3"/>
  <c r="AW39" i="3"/>
  <c r="BA39" i="3"/>
  <c r="BE39" i="3"/>
  <c r="AQ39" i="3"/>
  <c r="AU39" i="3"/>
  <c r="AY39" i="3"/>
  <c r="BC39" i="3"/>
  <c r="AR39" i="3"/>
  <c r="AZ39" i="3"/>
  <c r="AN39" i="3"/>
  <c r="AV39" i="3"/>
  <c r="BD39" i="3"/>
  <c r="Y39" i="3"/>
  <c r="AC39" i="3"/>
  <c r="AG39" i="3"/>
  <c r="AK39" i="3"/>
  <c r="AP39" i="3"/>
  <c r="Z39" i="3"/>
  <c r="AE39" i="3"/>
  <c r="AJ39" i="3"/>
  <c r="AX39" i="3"/>
  <c r="W39" i="3"/>
  <c r="AB39" i="3"/>
  <c r="AH39" i="3"/>
  <c r="AM39" i="3"/>
  <c r="BB39" i="3"/>
  <c r="X39" i="3"/>
  <c r="AI39" i="3"/>
  <c r="V39" i="3"/>
  <c r="AF39" i="3"/>
  <c r="AA39" i="3"/>
  <c r="AL39" i="3"/>
  <c r="AT39" i="3"/>
  <c r="AD39" i="3"/>
  <c r="CA41" i="3"/>
  <c r="CE41" i="3"/>
  <c r="CI41" i="3"/>
  <c r="CM41" i="3"/>
  <c r="BX41" i="3"/>
  <c r="CC41" i="3"/>
  <c r="CH41" i="3"/>
  <c r="CN41" i="3"/>
  <c r="CD41" i="3"/>
  <c r="CK41" i="3"/>
  <c r="BY41" i="3"/>
  <c r="CG41" i="3"/>
  <c r="CB41" i="3"/>
  <c r="CL41" i="3"/>
  <c r="CO41" i="3"/>
  <c r="BZ41" i="3"/>
  <c r="BI41" i="3"/>
  <c r="BM41" i="3"/>
  <c r="BQ41" i="3"/>
  <c r="BU41" i="3"/>
  <c r="BF41" i="3"/>
  <c r="BJ41" i="3"/>
  <c r="BN41" i="3"/>
  <c r="BR41" i="3"/>
  <c r="BV41" i="3"/>
  <c r="CF41" i="3"/>
  <c r="BL41" i="3"/>
  <c r="BT41" i="3"/>
  <c r="BH41" i="3"/>
  <c r="CJ41" i="3"/>
  <c r="BG41" i="3"/>
  <c r="BO41" i="3"/>
  <c r="BW41" i="3"/>
  <c r="BP41" i="3"/>
  <c r="BS41" i="3"/>
  <c r="BK41" i="3"/>
  <c r="AO41" i="3"/>
  <c r="AS41" i="3"/>
  <c r="AW41" i="3"/>
  <c r="BA41" i="3"/>
  <c r="BE41" i="3"/>
  <c r="AQ41" i="3"/>
  <c r="AU41" i="3"/>
  <c r="AY41" i="3"/>
  <c r="BC41" i="3"/>
  <c r="AN41" i="3"/>
  <c r="AV41" i="3"/>
  <c r="BD41" i="3"/>
  <c r="AR41" i="3"/>
  <c r="AZ41" i="3"/>
  <c r="Y41" i="3"/>
  <c r="AC41" i="3"/>
  <c r="AG41" i="3"/>
  <c r="AK41" i="3"/>
  <c r="BB41" i="3"/>
  <c r="V41" i="3"/>
  <c r="AA41" i="3"/>
  <c r="AF41" i="3"/>
  <c r="AL41" i="3"/>
  <c r="AT41" i="3"/>
  <c r="X41" i="3"/>
  <c r="AD41" i="3"/>
  <c r="AI41" i="3"/>
  <c r="AX41" i="3"/>
  <c r="AP41" i="3"/>
  <c r="AE41" i="3"/>
  <c r="Z41" i="3"/>
  <c r="AM41" i="3"/>
  <c r="W41" i="3"/>
  <c r="AH41" i="3"/>
  <c r="AJ41" i="3"/>
  <c r="AB41" i="3"/>
  <c r="CA43" i="3"/>
  <c r="CE43" i="3"/>
  <c r="CI43" i="3"/>
  <c r="CM43" i="3"/>
  <c r="BY43" i="3"/>
  <c r="CD43" i="3"/>
  <c r="CJ43" i="3"/>
  <c r="CO43" i="3"/>
  <c r="CC43" i="3"/>
  <c r="CK43" i="3"/>
  <c r="BZ43" i="3"/>
  <c r="CH43" i="3"/>
  <c r="CF43" i="3"/>
  <c r="CN43" i="3"/>
  <c r="BX43" i="3"/>
  <c r="CB43" i="3"/>
  <c r="BI43" i="3"/>
  <c r="BM43" i="3"/>
  <c r="BQ43" i="3"/>
  <c r="BU43" i="3"/>
  <c r="BF43" i="3"/>
  <c r="BN43" i="3"/>
  <c r="BR43" i="3"/>
  <c r="BV43" i="3"/>
  <c r="BH43" i="3"/>
  <c r="BP43" i="3"/>
  <c r="BT43" i="3"/>
  <c r="BK43" i="3"/>
  <c r="BS43" i="3"/>
  <c r="CG43" i="3"/>
  <c r="BL43" i="3"/>
  <c r="BO43" i="3"/>
  <c r="BW43" i="3"/>
  <c r="CL43" i="3"/>
  <c r="BG43" i="3"/>
  <c r="AO43" i="3"/>
  <c r="AS43" i="3"/>
  <c r="AW43" i="3"/>
  <c r="BA43" i="3"/>
  <c r="BE43" i="3"/>
  <c r="AQ43" i="3"/>
  <c r="AU43" i="3"/>
  <c r="AY43" i="3"/>
  <c r="BC43" i="3"/>
  <c r="AR43" i="3"/>
  <c r="AZ43" i="3"/>
  <c r="AN43" i="3"/>
  <c r="AV43" i="3"/>
  <c r="BD43" i="3"/>
  <c r="Y43" i="3"/>
  <c r="AC43" i="3"/>
  <c r="AG43" i="3"/>
  <c r="AK43" i="3"/>
  <c r="AX43" i="3"/>
  <c r="W43" i="3"/>
  <c r="AB43" i="3"/>
  <c r="AH43" i="3"/>
  <c r="AM43" i="3"/>
  <c r="AP43" i="3"/>
  <c r="Z43" i="3"/>
  <c r="AE43" i="3"/>
  <c r="AJ43" i="3"/>
  <c r="AT43" i="3"/>
  <c r="AA43" i="3"/>
  <c r="AL43" i="3"/>
  <c r="AF43" i="3"/>
  <c r="BB43" i="3"/>
  <c r="X43" i="3"/>
  <c r="AD43" i="3"/>
  <c r="V43" i="3"/>
  <c r="AI43" i="3"/>
  <c r="BX49" i="3"/>
  <c r="CB49" i="3"/>
  <c r="CF49" i="3"/>
  <c r="CJ49" i="3"/>
  <c r="CN49" i="3"/>
  <c r="CA49" i="3"/>
  <c r="CG49" i="3"/>
  <c r="CL49" i="3"/>
  <c r="CC49" i="3"/>
  <c r="CI49" i="3"/>
  <c r="BY49" i="3"/>
  <c r="CE49" i="3"/>
  <c r="CM49" i="3"/>
  <c r="BZ49" i="3"/>
  <c r="CO49" i="3"/>
  <c r="CD49" i="3"/>
  <c r="CH49" i="3"/>
  <c r="BI49" i="3"/>
  <c r="BM49" i="3"/>
  <c r="BQ49" i="3"/>
  <c r="BU49" i="3"/>
  <c r="CK49" i="3"/>
  <c r="BF49" i="3"/>
  <c r="BJ49" i="3"/>
  <c r="BN49" i="3"/>
  <c r="BR49" i="3"/>
  <c r="BV49" i="3"/>
  <c r="BL49" i="3"/>
  <c r="BT49" i="3"/>
  <c r="BG49" i="3"/>
  <c r="BO49" i="3"/>
  <c r="BW49" i="3"/>
  <c r="BP49" i="3"/>
  <c r="BS49" i="3"/>
  <c r="BK49" i="3"/>
  <c r="AO49" i="3"/>
  <c r="AS49" i="3"/>
  <c r="AW49" i="3"/>
  <c r="BA49" i="3"/>
  <c r="BE49" i="3"/>
  <c r="AQ49" i="3"/>
  <c r="AU49" i="3"/>
  <c r="AY49" i="3"/>
  <c r="BC49" i="3"/>
  <c r="AN49" i="3"/>
  <c r="AV49" i="3"/>
  <c r="BD49" i="3"/>
  <c r="AR49" i="3"/>
  <c r="AZ49" i="3"/>
  <c r="Y49" i="3"/>
  <c r="AC49" i="3"/>
  <c r="AG49" i="3"/>
  <c r="AK49" i="3"/>
  <c r="BB49" i="3"/>
  <c r="V49" i="3"/>
  <c r="AA49" i="3"/>
  <c r="AF49" i="3"/>
  <c r="AL49" i="3"/>
  <c r="AT49" i="3"/>
  <c r="X49" i="3"/>
  <c r="AD49" i="3"/>
  <c r="AI49" i="3"/>
  <c r="AX49" i="3"/>
  <c r="Z49" i="3"/>
  <c r="AJ49" i="3"/>
  <c r="AE49" i="3"/>
  <c r="AP49" i="3"/>
  <c r="AH49" i="3"/>
  <c r="AB49" i="3"/>
  <c r="AM49" i="3"/>
  <c r="W49" i="3"/>
  <c r="BX51" i="3"/>
  <c r="CB51" i="3"/>
  <c r="CF51" i="3"/>
  <c r="CJ51" i="3"/>
  <c r="CN51" i="3"/>
  <c r="CC51" i="3"/>
  <c r="CH51" i="3"/>
  <c r="CM51" i="3"/>
  <c r="CA51" i="3"/>
  <c r="CI51" i="3"/>
  <c r="BY51" i="3"/>
  <c r="CE51" i="3"/>
  <c r="CL51" i="3"/>
  <c r="CG51" i="3"/>
  <c r="CK51" i="3"/>
  <c r="BZ51" i="3"/>
  <c r="BI51" i="3"/>
  <c r="BM51" i="3"/>
  <c r="BQ51" i="3"/>
  <c r="BU51" i="3"/>
  <c r="CD51" i="3"/>
  <c r="BF51" i="3"/>
  <c r="BJ51" i="3"/>
  <c r="BN51" i="3"/>
  <c r="BR51" i="3"/>
  <c r="BV51" i="3"/>
  <c r="CO51" i="3"/>
  <c r="BH51" i="3"/>
  <c r="BP51" i="3"/>
  <c r="BT51" i="3"/>
  <c r="BS51" i="3"/>
  <c r="BL51" i="3"/>
  <c r="BO51" i="3"/>
  <c r="BG51" i="3"/>
  <c r="BW51" i="3"/>
  <c r="AO51" i="3"/>
  <c r="AS51" i="3"/>
  <c r="AW51" i="3"/>
  <c r="BA51" i="3"/>
  <c r="BE51" i="3"/>
  <c r="AQ51" i="3"/>
  <c r="AU51" i="3"/>
  <c r="AY51" i="3"/>
  <c r="BC51" i="3"/>
  <c r="AR51" i="3"/>
  <c r="AZ51" i="3"/>
  <c r="AN51" i="3"/>
  <c r="AV51" i="3"/>
  <c r="BD51" i="3"/>
  <c r="Y51" i="3"/>
  <c r="AC51" i="3"/>
  <c r="AG51" i="3"/>
  <c r="AK51" i="3"/>
  <c r="AX51" i="3"/>
  <c r="W51" i="3"/>
  <c r="AB51" i="3"/>
  <c r="AH51" i="3"/>
  <c r="AM51" i="3"/>
  <c r="AP51" i="3"/>
  <c r="Z51" i="3"/>
  <c r="AE51" i="3"/>
  <c r="AJ51" i="3"/>
  <c r="AT51" i="3"/>
  <c r="V51" i="3"/>
  <c r="AF51" i="3"/>
  <c r="AL51" i="3"/>
  <c r="BB51" i="3"/>
  <c r="X51" i="3"/>
  <c r="AI51" i="3"/>
  <c r="AA51" i="3"/>
  <c r="AD51" i="3"/>
  <c r="BX53" i="3"/>
  <c r="CB53" i="3"/>
  <c r="CF53" i="3"/>
  <c r="CJ53" i="3"/>
  <c r="CN53" i="3"/>
  <c r="BY53" i="3"/>
  <c r="CD53" i="3"/>
  <c r="CI53" i="3"/>
  <c r="CO53" i="3"/>
  <c r="CA53" i="3"/>
  <c r="CH53" i="3"/>
  <c r="CE53" i="3"/>
  <c r="CL53" i="3"/>
  <c r="BZ53" i="3"/>
  <c r="CM53" i="3"/>
  <c r="CC53" i="3"/>
  <c r="BI53" i="3"/>
  <c r="BM53" i="3"/>
  <c r="BQ53" i="3"/>
  <c r="BU53" i="3"/>
  <c r="BF53" i="3"/>
  <c r="BN53" i="3"/>
  <c r="BR53" i="3"/>
  <c r="BV53" i="3"/>
  <c r="BL53" i="3"/>
  <c r="BT53" i="3"/>
  <c r="BP53" i="3"/>
  <c r="BG53" i="3"/>
  <c r="BO53" i="3"/>
  <c r="BW53" i="3"/>
  <c r="CG53" i="3"/>
  <c r="BH53" i="3"/>
  <c r="CK53" i="3"/>
  <c r="BK53" i="3"/>
  <c r="BS53" i="3"/>
  <c r="AO53" i="3"/>
  <c r="AS53" i="3"/>
  <c r="AW53" i="3"/>
  <c r="BA53" i="3"/>
  <c r="BE53" i="3"/>
  <c r="AQ53" i="3"/>
  <c r="AU53" i="3"/>
  <c r="AY53" i="3"/>
  <c r="BC53" i="3"/>
  <c r="AN53" i="3"/>
  <c r="AV53" i="3"/>
  <c r="BD53" i="3"/>
  <c r="AR53" i="3"/>
  <c r="AZ53" i="3"/>
  <c r="Y53" i="3"/>
  <c r="AC53" i="3"/>
  <c r="AG53" i="3"/>
  <c r="AK53" i="3"/>
  <c r="AT53" i="3"/>
  <c r="X53" i="3"/>
  <c r="AD53" i="3"/>
  <c r="AI53" i="3"/>
  <c r="BB53" i="3"/>
  <c r="V53" i="3"/>
  <c r="AA53" i="3"/>
  <c r="AF53" i="3"/>
  <c r="AL53" i="3"/>
  <c r="AP53" i="3"/>
  <c r="AB53" i="3"/>
  <c r="AM53" i="3"/>
  <c r="W53" i="3"/>
  <c r="Z53" i="3"/>
  <c r="AX53" i="3"/>
  <c r="AE53" i="3"/>
  <c r="AH53" i="3"/>
  <c r="AJ53" i="3"/>
  <c r="BX55" i="3"/>
  <c r="CB55" i="3"/>
  <c r="CF55" i="3"/>
  <c r="CJ55" i="3"/>
  <c r="CN55" i="3"/>
  <c r="BZ55" i="3"/>
  <c r="CE55" i="3"/>
  <c r="CK55" i="3"/>
  <c r="CA55" i="3"/>
  <c r="CH55" i="3"/>
  <c r="CO55" i="3"/>
  <c r="CD55" i="3"/>
  <c r="CL55" i="3"/>
  <c r="CG55" i="3"/>
  <c r="CI55" i="3"/>
  <c r="CM55" i="3"/>
  <c r="BI55" i="3"/>
  <c r="BM55" i="3"/>
  <c r="BQ55" i="3"/>
  <c r="BU55" i="3"/>
  <c r="BF55" i="3"/>
  <c r="BJ55" i="3"/>
  <c r="BN55" i="3"/>
  <c r="BR55" i="3"/>
  <c r="BV55" i="3"/>
  <c r="BY55" i="3"/>
  <c r="BH55" i="3"/>
  <c r="BP55" i="3"/>
  <c r="BL55" i="3"/>
  <c r="CC55" i="3"/>
  <c r="BK55" i="3"/>
  <c r="BS55" i="3"/>
  <c r="BT55" i="3"/>
  <c r="BG55" i="3"/>
  <c r="BW55" i="3"/>
  <c r="BO55" i="3"/>
  <c r="AO55" i="3"/>
  <c r="AS55" i="3"/>
  <c r="AW55" i="3"/>
  <c r="BA55" i="3"/>
  <c r="BE55" i="3"/>
  <c r="AQ55" i="3"/>
  <c r="AU55" i="3"/>
  <c r="AY55" i="3"/>
  <c r="BC55" i="3"/>
  <c r="AR55" i="3"/>
  <c r="AZ55" i="3"/>
  <c r="AN55" i="3"/>
  <c r="AV55" i="3"/>
  <c r="BD55" i="3"/>
  <c r="Y55" i="3"/>
  <c r="AC55" i="3"/>
  <c r="AG55" i="3"/>
  <c r="AK55" i="3"/>
  <c r="AP55" i="3"/>
  <c r="AE55" i="3"/>
  <c r="AJ55" i="3"/>
  <c r="AX55" i="3"/>
  <c r="W55" i="3"/>
  <c r="AB55" i="3"/>
  <c r="AH55" i="3"/>
  <c r="AM55" i="3"/>
  <c r="X55" i="3"/>
  <c r="AI55" i="3"/>
  <c r="AD55" i="3"/>
  <c r="AF55" i="3"/>
  <c r="AT55" i="3"/>
  <c r="AA55" i="3"/>
  <c r="AL55" i="3"/>
  <c r="BB55" i="3"/>
  <c r="V55" i="3"/>
  <c r="BX57" i="3"/>
  <c r="CB57" i="3"/>
  <c r="CF57" i="3"/>
  <c r="CJ57" i="3"/>
  <c r="CN57" i="3"/>
  <c r="CA57" i="3"/>
  <c r="CG57" i="3"/>
  <c r="CL57" i="3"/>
  <c r="BZ57" i="3"/>
  <c r="CH57" i="3"/>
  <c r="CO57" i="3"/>
  <c r="CD57" i="3"/>
  <c r="CK57" i="3"/>
  <c r="BY57" i="3"/>
  <c r="CM57" i="3"/>
  <c r="CC57" i="3"/>
  <c r="CE57" i="3"/>
  <c r="BI57" i="3"/>
  <c r="BM57" i="3"/>
  <c r="BQ57" i="3"/>
  <c r="BU57" i="3"/>
  <c r="CI57" i="3"/>
  <c r="BF57" i="3"/>
  <c r="BJ57" i="3"/>
  <c r="BN57" i="3"/>
  <c r="BR57" i="3"/>
  <c r="BV57" i="3"/>
  <c r="BL57" i="3"/>
  <c r="BT57" i="3"/>
  <c r="BH57" i="3"/>
  <c r="BG57" i="3"/>
  <c r="BO57" i="3"/>
  <c r="BW57" i="3"/>
  <c r="BP57" i="3"/>
  <c r="BS57" i="3"/>
  <c r="BK57" i="3"/>
  <c r="AO57" i="3"/>
  <c r="AS57" i="3"/>
  <c r="AW57" i="3"/>
  <c r="BA57" i="3"/>
  <c r="BE57" i="3"/>
  <c r="AQ57" i="3"/>
  <c r="AU57" i="3"/>
  <c r="AY57" i="3"/>
  <c r="BC57" i="3"/>
  <c r="AN57" i="3"/>
  <c r="AV57" i="3"/>
  <c r="BD57" i="3"/>
  <c r="AR57" i="3"/>
  <c r="AZ57" i="3"/>
  <c r="Y57" i="3"/>
  <c r="AC57" i="3"/>
  <c r="AG57" i="3"/>
  <c r="AK57" i="3"/>
  <c r="BB57" i="3"/>
  <c r="V57" i="3"/>
  <c r="AF57" i="3"/>
  <c r="AL57" i="3"/>
  <c r="AT57" i="3"/>
  <c r="X57" i="3"/>
  <c r="AD57" i="3"/>
  <c r="AI57" i="3"/>
  <c r="AE57" i="3"/>
  <c r="AJ57" i="3"/>
  <c r="AM57" i="3"/>
  <c r="AP57" i="3"/>
  <c r="W57" i="3"/>
  <c r="AH57" i="3"/>
  <c r="AX57" i="3"/>
  <c r="Z57" i="3"/>
  <c r="AB57" i="3"/>
  <c r="BX59" i="3"/>
  <c r="CB59" i="3"/>
  <c r="CF59" i="3"/>
  <c r="CJ59" i="3"/>
  <c r="CN59" i="3"/>
  <c r="CC59" i="3"/>
  <c r="CH59" i="3"/>
  <c r="CM59" i="3"/>
  <c r="BZ59" i="3"/>
  <c r="CG59" i="3"/>
  <c r="CO59" i="3"/>
  <c r="CD59" i="3"/>
  <c r="CK59" i="3"/>
  <c r="CE59" i="3"/>
  <c r="CI59" i="3"/>
  <c r="BY59" i="3"/>
  <c r="BI59" i="3"/>
  <c r="BM59" i="3"/>
  <c r="BQ59" i="3"/>
  <c r="BU59" i="3"/>
  <c r="CA59" i="3"/>
  <c r="BF59" i="3"/>
  <c r="BN59" i="3"/>
  <c r="BR59" i="3"/>
  <c r="BV59" i="3"/>
  <c r="BH59" i="3"/>
  <c r="BP59" i="3"/>
  <c r="BT59" i="3"/>
  <c r="BK59" i="3"/>
  <c r="BS59" i="3"/>
  <c r="CL59" i="3"/>
  <c r="BL59" i="3"/>
  <c r="BG59" i="3"/>
  <c r="BO59" i="3"/>
  <c r="BW59" i="3"/>
  <c r="AO59" i="3"/>
  <c r="AS59" i="3"/>
  <c r="AW59" i="3"/>
  <c r="BA59" i="3"/>
  <c r="BE59" i="3"/>
  <c r="AQ59" i="3"/>
  <c r="AU59" i="3"/>
  <c r="AY59" i="3"/>
  <c r="BC59" i="3"/>
  <c r="AR59" i="3"/>
  <c r="AZ59" i="3"/>
  <c r="AN59" i="3"/>
  <c r="AV59" i="3"/>
  <c r="BD59" i="3"/>
  <c r="Y59" i="3"/>
  <c r="AC59" i="3"/>
  <c r="AG59" i="3"/>
  <c r="AK59" i="3"/>
  <c r="AX59" i="3"/>
  <c r="W59" i="3"/>
  <c r="AB59" i="3"/>
  <c r="AH59" i="3"/>
  <c r="AM59" i="3"/>
  <c r="AP59" i="3"/>
  <c r="Z59" i="3"/>
  <c r="AE59" i="3"/>
  <c r="AJ59" i="3"/>
  <c r="AA59" i="3"/>
  <c r="AL59" i="3"/>
  <c r="V59" i="3"/>
  <c r="BB59" i="3"/>
  <c r="X59" i="3"/>
  <c r="AD59" i="3"/>
  <c r="AT59" i="3"/>
  <c r="AF59" i="3"/>
  <c r="AI59" i="3"/>
  <c r="BX63" i="3"/>
  <c r="CB63" i="3"/>
  <c r="CF63" i="3"/>
  <c r="CJ63" i="3"/>
  <c r="CN63" i="3"/>
  <c r="BZ63" i="3"/>
  <c r="CE63" i="3"/>
  <c r="CK63" i="3"/>
  <c r="BY63" i="3"/>
  <c r="CG63" i="3"/>
  <c r="CM63" i="3"/>
  <c r="CC63" i="3"/>
  <c r="CI63" i="3"/>
  <c r="CD63" i="3"/>
  <c r="CH63" i="3"/>
  <c r="CL63" i="3"/>
  <c r="BI63" i="3"/>
  <c r="CO63" i="3"/>
  <c r="BF63" i="3"/>
  <c r="BJ63" i="3"/>
  <c r="BN63" i="3"/>
  <c r="BR63" i="3"/>
  <c r="BV63" i="3"/>
  <c r="BH63" i="3"/>
  <c r="BO63" i="3"/>
  <c r="BT63" i="3"/>
  <c r="BW63" i="3"/>
  <c r="BK63" i="3"/>
  <c r="BP63" i="3"/>
  <c r="BU63" i="3"/>
  <c r="BQ63" i="3"/>
  <c r="BS63" i="3"/>
  <c r="BG63" i="3"/>
  <c r="CA63" i="3"/>
  <c r="BM63" i="3"/>
  <c r="AO63" i="3"/>
  <c r="AS63" i="3"/>
  <c r="AW63" i="3"/>
  <c r="BA63" i="3"/>
  <c r="BE63" i="3"/>
  <c r="AQ63" i="3"/>
  <c r="AU63" i="3"/>
  <c r="AY63" i="3"/>
  <c r="BC63" i="3"/>
  <c r="AR63" i="3"/>
  <c r="AZ63" i="3"/>
  <c r="AN63" i="3"/>
  <c r="AV63" i="3"/>
  <c r="BD63" i="3"/>
  <c r="Y63" i="3"/>
  <c r="AC63" i="3"/>
  <c r="AG63" i="3"/>
  <c r="AK63" i="3"/>
  <c r="AP63" i="3"/>
  <c r="Z63" i="3"/>
  <c r="AE63" i="3"/>
  <c r="AJ63" i="3"/>
  <c r="AX63" i="3"/>
  <c r="W63" i="3"/>
  <c r="AB63" i="3"/>
  <c r="AH63" i="3"/>
  <c r="AM63" i="3"/>
  <c r="BB63" i="3"/>
  <c r="AD63" i="3"/>
  <c r="AI63" i="3"/>
  <c r="AT63" i="3"/>
  <c r="AL63" i="3"/>
  <c r="V63" i="3"/>
  <c r="AF63" i="3"/>
  <c r="X63" i="3"/>
  <c r="AA63" i="3"/>
  <c r="BX65" i="3"/>
  <c r="CB65" i="3"/>
  <c r="CF65" i="3"/>
  <c r="CJ65" i="3"/>
  <c r="CN65" i="3"/>
  <c r="CA65" i="3"/>
  <c r="CG65" i="3"/>
  <c r="CL65" i="3"/>
  <c r="BY65" i="3"/>
  <c r="CE65" i="3"/>
  <c r="CM65" i="3"/>
  <c r="CC65" i="3"/>
  <c r="CI65" i="3"/>
  <c r="CK65" i="3"/>
  <c r="BZ65" i="3"/>
  <c r="CO65" i="3"/>
  <c r="CD65" i="3"/>
  <c r="CH65" i="3"/>
  <c r="BF65" i="3"/>
  <c r="BJ65" i="3"/>
  <c r="BN65" i="3"/>
  <c r="BR65" i="3"/>
  <c r="BV65" i="3"/>
  <c r="BK65" i="3"/>
  <c r="BP65" i="3"/>
  <c r="BU65" i="3"/>
  <c r="BM65" i="3"/>
  <c r="BG65" i="3"/>
  <c r="BL65" i="3"/>
  <c r="BQ65" i="3"/>
  <c r="BW65" i="3"/>
  <c r="BH65" i="3"/>
  <c r="BS65" i="3"/>
  <c r="BO65" i="3"/>
  <c r="BT65" i="3"/>
  <c r="BI65" i="3"/>
  <c r="AO65" i="3"/>
  <c r="AS65" i="3"/>
  <c r="AW65" i="3"/>
  <c r="BA65" i="3"/>
  <c r="BE65" i="3"/>
  <c r="AQ65" i="3"/>
  <c r="AU65" i="3"/>
  <c r="AY65" i="3"/>
  <c r="BC65" i="3"/>
  <c r="AN65" i="3"/>
  <c r="AV65" i="3"/>
  <c r="BD65" i="3"/>
  <c r="AR65" i="3"/>
  <c r="AZ65" i="3"/>
  <c r="Y65" i="3"/>
  <c r="AC65" i="3"/>
  <c r="AG65" i="3"/>
  <c r="AK65" i="3"/>
  <c r="BB65" i="3"/>
  <c r="V65" i="3"/>
  <c r="AF65" i="3"/>
  <c r="AL65" i="3"/>
  <c r="AT65" i="3"/>
  <c r="X65" i="3"/>
  <c r="AD65" i="3"/>
  <c r="AI65" i="3"/>
  <c r="AX65" i="3"/>
  <c r="Z65" i="3"/>
  <c r="AJ65" i="3"/>
  <c r="W65" i="3"/>
  <c r="AB65" i="3"/>
  <c r="AM65" i="3"/>
  <c r="AE65" i="3"/>
  <c r="AP65" i="3"/>
  <c r="AH65" i="3"/>
  <c r="BX67" i="3"/>
  <c r="CB67" i="3"/>
  <c r="CF67" i="3"/>
  <c r="CJ67" i="3"/>
  <c r="CN67" i="3"/>
  <c r="CC67" i="3"/>
  <c r="CH67" i="3"/>
  <c r="CM67" i="3"/>
  <c r="BY67" i="3"/>
  <c r="CE67" i="3"/>
  <c r="CL67" i="3"/>
  <c r="CA67" i="3"/>
  <c r="CI67" i="3"/>
  <c r="CD67" i="3"/>
  <c r="CG67" i="3"/>
  <c r="BZ67" i="3"/>
  <c r="BF67" i="3"/>
  <c r="BJ67" i="3"/>
  <c r="BN67" i="3"/>
  <c r="BR67" i="3"/>
  <c r="BV67" i="3"/>
  <c r="CK67" i="3"/>
  <c r="BG67" i="3"/>
  <c r="BL67" i="3"/>
  <c r="BQ67" i="3"/>
  <c r="BW67" i="3"/>
  <c r="BT67" i="3"/>
  <c r="CO67" i="3"/>
  <c r="BH67" i="3"/>
  <c r="BM67" i="3"/>
  <c r="BS67" i="3"/>
  <c r="BO67" i="3"/>
  <c r="BK67" i="3"/>
  <c r="BU67" i="3"/>
  <c r="BP67" i="3"/>
  <c r="AO67" i="3"/>
  <c r="AS67" i="3"/>
  <c r="AW67" i="3"/>
  <c r="BA67" i="3"/>
  <c r="BE67" i="3"/>
  <c r="AQ67" i="3"/>
  <c r="AU67" i="3"/>
  <c r="AY67" i="3"/>
  <c r="BC67" i="3"/>
  <c r="AR67" i="3"/>
  <c r="AZ67" i="3"/>
  <c r="AN67" i="3"/>
  <c r="AV67" i="3"/>
  <c r="BD67" i="3"/>
  <c r="AX67" i="3"/>
  <c r="W67" i="3"/>
  <c r="AA67" i="3"/>
  <c r="AE67" i="3"/>
  <c r="AI67" i="3"/>
  <c r="AM67" i="3"/>
  <c r="AP67" i="3"/>
  <c r="Y67" i="3"/>
  <c r="AC67" i="3"/>
  <c r="AG67" i="3"/>
  <c r="AK67" i="3"/>
  <c r="AT67" i="3"/>
  <c r="Z67" i="3"/>
  <c r="AH67" i="3"/>
  <c r="V67" i="3"/>
  <c r="AL67" i="3"/>
  <c r="X67" i="3"/>
  <c r="BB67" i="3"/>
  <c r="AB67" i="3"/>
  <c r="AJ67" i="3"/>
  <c r="AD67" i="3"/>
  <c r="AF67" i="3"/>
  <c r="BX69" i="3"/>
  <c r="CB69" i="3"/>
  <c r="CF69" i="3"/>
  <c r="CJ69" i="3"/>
  <c r="CN69" i="3"/>
  <c r="BY69" i="3"/>
  <c r="CD69" i="3"/>
  <c r="CI69" i="3"/>
  <c r="CO69" i="3"/>
  <c r="CE69" i="3"/>
  <c r="CL69" i="3"/>
  <c r="CA69" i="3"/>
  <c r="CH69" i="3"/>
  <c r="CK69" i="3"/>
  <c r="BZ69" i="3"/>
  <c r="CM69" i="3"/>
  <c r="BF69" i="3"/>
  <c r="BJ69" i="3"/>
  <c r="BN69" i="3"/>
  <c r="BR69" i="3"/>
  <c r="BV69" i="3"/>
  <c r="BH69" i="3"/>
  <c r="BM69" i="3"/>
  <c r="BS69" i="3"/>
  <c r="BU69" i="3"/>
  <c r="BI69" i="3"/>
  <c r="BO69" i="3"/>
  <c r="BT69" i="3"/>
  <c r="CC69" i="3"/>
  <c r="BP69" i="3"/>
  <c r="BQ69" i="3"/>
  <c r="BG69" i="3"/>
  <c r="BL69" i="3"/>
  <c r="CG69" i="3"/>
  <c r="BW69" i="3"/>
  <c r="AO69" i="3"/>
  <c r="AS69" i="3"/>
  <c r="AW69" i="3"/>
  <c r="BA69" i="3"/>
  <c r="AQ69" i="3"/>
  <c r="AU69" i="3"/>
  <c r="AY69" i="3"/>
  <c r="BC69" i="3"/>
  <c r="AN69" i="3"/>
  <c r="AV69" i="3"/>
  <c r="BD69" i="3"/>
  <c r="AR69" i="3"/>
  <c r="AZ69" i="3"/>
  <c r="AT69" i="3"/>
  <c r="W69" i="3"/>
  <c r="AA69" i="3"/>
  <c r="AE69" i="3"/>
  <c r="AI69" i="3"/>
  <c r="AM69" i="3"/>
  <c r="BB69" i="3"/>
  <c r="Y69" i="3"/>
  <c r="AC69" i="3"/>
  <c r="AG69" i="3"/>
  <c r="AK69" i="3"/>
  <c r="AP69" i="3"/>
  <c r="V69" i="3"/>
  <c r="AD69" i="3"/>
  <c r="AL69" i="3"/>
  <c r="AH69" i="3"/>
  <c r="AJ69" i="3"/>
  <c r="AX69" i="3"/>
  <c r="X69" i="3"/>
  <c r="AF69" i="3"/>
  <c r="BE69" i="3"/>
  <c r="Z69" i="3"/>
  <c r="AB69" i="3"/>
  <c r="BY71" i="3"/>
  <c r="CC71" i="3"/>
  <c r="CG71" i="3"/>
  <c r="CK71" i="3"/>
  <c r="CO71" i="3"/>
  <c r="BX71" i="3"/>
  <c r="CD71" i="3"/>
  <c r="CI71" i="3"/>
  <c r="CN71" i="3"/>
  <c r="CA71" i="3"/>
  <c r="CF71" i="3"/>
  <c r="CL71" i="3"/>
  <c r="CH71" i="3"/>
  <c r="BZ71" i="3"/>
  <c r="CJ71" i="3"/>
  <c r="CB71" i="3"/>
  <c r="CE71" i="3"/>
  <c r="BF71" i="3"/>
  <c r="BN71" i="3"/>
  <c r="BR71" i="3"/>
  <c r="BV71" i="3"/>
  <c r="BI71" i="3"/>
  <c r="BO71" i="3"/>
  <c r="BT71" i="3"/>
  <c r="BG71" i="3"/>
  <c r="BQ71" i="3"/>
  <c r="BK71" i="3"/>
  <c r="BP71" i="3"/>
  <c r="BU71" i="3"/>
  <c r="CM71" i="3"/>
  <c r="BL71" i="3"/>
  <c r="BW71" i="3"/>
  <c r="BH71" i="3"/>
  <c r="BM71" i="3"/>
  <c r="BS71" i="3"/>
  <c r="AQ71" i="3"/>
  <c r="AU71" i="3"/>
  <c r="AY71" i="3"/>
  <c r="BC71" i="3"/>
  <c r="AO71" i="3"/>
  <c r="AT71" i="3"/>
  <c r="AZ71" i="3"/>
  <c r="BE71" i="3"/>
  <c r="AR71" i="3"/>
  <c r="AW71" i="3"/>
  <c r="BB71" i="3"/>
  <c r="AS71" i="3"/>
  <c r="BD71" i="3"/>
  <c r="W71" i="3"/>
  <c r="AA71" i="3"/>
  <c r="AE71" i="3"/>
  <c r="AI71" i="3"/>
  <c r="AM71" i="3"/>
  <c r="AN71" i="3"/>
  <c r="AX71" i="3"/>
  <c r="Y71" i="3"/>
  <c r="AC71" i="3"/>
  <c r="AG71" i="3"/>
  <c r="AK71" i="3"/>
  <c r="BA71" i="3"/>
  <c r="Z71" i="3"/>
  <c r="AH71" i="3"/>
  <c r="AP71" i="3"/>
  <c r="AD71" i="3"/>
  <c r="AF71" i="3"/>
  <c r="AB71" i="3"/>
  <c r="AJ71" i="3"/>
  <c r="V71" i="3"/>
  <c r="AL71" i="3"/>
  <c r="AV71" i="3"/>
  <c r="X71" i="3"/>
  <c r="BY75" i="3"/>
  <c r="CC75" i="3"/>
  <c r="CG75" i="3"/>
  <c r="CK75" i="3"/>
  <c r="CO75" i="3"/>
  <c r="CA75" i="3"/>
  <c r="CF75" i="3"/>
  <c r="CL75" i="3"/>
  <c r="BX75" i="3"/>
  <c r="CD75" i="3"/>
  <c r="CI75" i="3"/>
  <c r="CN75" i="3"/>
  <c r="BZ75" i="3"/>
  <c r="CJ75" i="3"/>
  <c r="CB75" i="3"/>
  <c r="CM75" i="3"/>
  <c r="BF75" i="3"/>
  <c r="BJ75" i="3"/>
  <c r="BN75" i="3"/>
  <c r="BR75" i="3"/>
  <c r="BV75" i="3"/>
  <c r="CE75" i="3"/>
  <c r="BG75" i="3"/>
  <c r="BL75" i="3"/>
  <c r="BQ75" i="3"/>
  <c r="BW75" i="3"/>
  <c r="BI75" i="3"/>
  <c r="BT75" i="3"/>
  <c r="CH75" i="3"/>
  <c r="BH75" i="3"/>
  <c r="BM75" i="3"/>
  <c r="BS75" i="3"/>
  <c r="BO75" i="3"/>
  <c r="BP75" i="3"/>
  <c r="BU75" i="3"/>
  <c r="AQ75" i="3"/>
  <c r="AU75" i="3"/>
  <c r="AY75" i="3"/>
  <c r="BC75" i="3"/>
  <c r="AR75" i="3"/>
  <c r="AW75" i="3"/>
  <c r="BB75" i="3"/>
  <c r="AO75" i="3"/>
  <c r="AT75" i="3"/>
  <c r="AZ75" i="3"/>
  <c r="BE75" i="3"/>
  <c r="AV75" i="3"/>
  <c r="W75" i="3"/>
  <c r="AA75" i="3"/>
  <c r="AE75" i="3"/>
  <c r="AI75" i="3"/>
  <c r="AM75" i="3"/>
  <c r="AP75" i="3"/>
  <c r="BA75" i="3"/>
  <c r="Y75" i="3"/>
  <c r="AC75" i="3"/>
  <c r="AG75" i="3"/>
  <c r="AK75" i="3"/>
  <c r="AS75" i="3"/>
  <c r="Z75" i="3"/>
  <c r="AH75" i="3"/>
  <c r="BD75" i="3"/>
  <c r="V75" i="3"/>
  <c r="AL75" i="3"/>
  <c r="AN75" i="3"/>
  <c r="X75" i="3"/>
  <c r="AX75" i="3"/>
  <c r="AB75" i="3"/>
  <c r="AJ75" i="3"/>
  <c r="AD75" i="3"/>
  <c r="AF75" i="3"/>
  <c r="BY77" i="3"/>
  <c r="CC77" i="3"/>
  <c r="CG77" i="3"/>
  <c r="CK77" i="3"/>
  <c r="CO77" i="3"/>
  <c r="CB77" i="3"/>
  <c r="CH77" i="3"/>
  <c r="CM77" i="3"/>
  <c r="BZ77" i="3"/>
  <c r="CE77" i="3"/>
  <c r="CJ77" i="3"/>
  <c r="CF77" i="3"/>
  <c r="BX77" i="3"/>
  <c r="CI77" i="3"/>
  <c r="CA77" i="3"/>
  <c r="CD77" i="3"/>
  <c r="BF77" i="3"/>
  <c r="BN77" i="3"/>
  <c r="BR77" i="3"/>
  <c r="BV77" i="3"/>
  <c r="CL77" i="3"/>
  <c r="BH77" i="3"/>
  <c r="BM77" i="3"/>
  <c r="BS77" i="3"/>
  <c r="BP77" i="3"/>
  <c r="CN77" i="3"/>
  <c r="BI77" i="3"/>
  <c r="BO77" i="3"/>
  <c r="BT77" i="3"/>
  <c r="BK77" i="3"/>
  <c r="BU77" i="3"/>
  <c r="BW77" i="3"/>
  <c r="BL77" i="3"/>
  <c r="BQ77" i="3"/>
  <c r="BG77" i="3"/>
  <c r="AQ77" i="3"/>
  <c r="AU77" i="3"/>
  <c r="AY77" i="3"/>
  <c r="BC77" i="3"/>
  <c r="AN77" i="3"/>
  <c r="AS77" i="3"/>
  <c r="AX77" i="3"/>
  <c r="BD77" i="3"/>
  <c r="AP77" i="3"/>
  <c r="AV77" i="3"/>
  <c r="BA77" i="3"/>
  <c r="AR77" i="3"/>
  <c r="BB77" i="3"/>
  <c r="W77" i="3"/>
  <c r="AA77" i="3"/>
  <c r="AE77" i="3"/>
  <c r="AI77" i="3"/>
  <c r="AM77" i="3"/>
  <c r="AW77" i="3"/>
  <c r="Y77" i="3"/>
  <c r="AC77" i="3"/>
  <c r="AG77" i="3"/>
  <c r="AK77" i="3"/>
  <c r="AZ77" i="3"/>
  <c r="V77" i="3"/>
  <c r="AD77" i="3"/>
  <c r="AL77" i="3"/>
  <c r="AH77" i="3"/>
  <c r="AT77" i="3"/>
  <c r="AJ77" i="3"/>
  <c r="BE77" i="3"/>
  <c r="X77" i="3"/>
  <c r="AF77" i="3"/>
  <c r="AO77" i="3"/>
  <c r="Z77" i="3"/>
  <c r="AB77" i="3"/>
  <c r="BY79" i="3"/>
  <c r="CC79" i="3"/>
  <c r="CG79" i="3"/>
  <c r="CK79" i="3"/>
  <c r="CO79" i="3"/>
  <c r="BX79" i="3"/>
  <c r="CD79" i="3"/>
  <c r="CI79" i="3"/>
  <c r="CN79" i="3"/>
  <c r="CA79" i="3"/>
  <c r="CF79" i="3"/>
  <c r="CL79" i="3"/>
  <c r="CB79" i="3"/>
  <c r="CM79" i="3"/>
  <c r="CE79" i="3"/>
  <c r="CH79" i="3"/>
  <c r="CJ79" i="3"/>
  <c r="BF79" i="3"/>
  <c r="BN79" i="3"/>
  <c r="BR79" i="3"/>
  <c r="BV79" i="3"/>
  <c r="BI79" i="3"/>
  <c r="BO79" i="3"/>
  <c r="BT79" i="3"/>
  <c r="BG79" i="3"/>
  <c r="BQ79" i="3"/>
  <c r="BK79" i="3"/>
  <c r="BP79" i="3"/>
  <c r="BU79" i="3"/>
  <c r="BL79" i="3"/>
  <c r="BW79" i="3"/>
  <c r="BH79" i="3"/>
  <c r="BZ79" i="3"/>
  <c r="BM79" i="3"/>
  <c r="BS79" i="3"/>
  <c r="AQ79" i="3"/>
  <c r="AU79" i="3"/>
  <c r="AY79" i="3"/>
  <c r="BC79" i="3"/>
  <c r="AO79" i="3"/>
  <c r="AT79" i="3"/>
  <c r="AZ79" i="3"/>
  <c r="BE79" i="3"/>
  <c r="AR79" i="3"/>
  <c r="AW79" i="3"/>
  <c r="BB79" i="3"/>
  <c r="AN79" i="3"/>
  <c r="AX79" i="3"/>
  <c r="W79" i="3"/>
  <c r="AA79" i="3"/>
  <c r="AE79" i="3"/>
  <c r="AI79" i="3"/>
  <c r="AM79" i="3"/>
  <c r="AS79" i="3"/>
  <c r="BD79" i="3"/>
  <c r="Y79" i="3"/>
  <c r="AC79" i="3"/>
  <c r="AG79" i="3"/>
  <c r="AK79" i="3"/>
  <c r="Z79" i="3"/>
  <c r="AH79" i="3"/>
  <c r="AD79" i="3"/>
  <c r="BA79" i="3"/>
  <c r="AF79" i="3"/>
  <c r="AP79" i="3"/>
  <c r="AB79" i="3"/>
  <c r="AJ79" i="3"/>
  <c r="AV79" i="3"/>
  <c r="V79" i="3"/>
  <c r="AL79" i="3"/>
  <c r="X79" i="3"/>
  <c r="BY81" i="3"/>
  <c r="CC81" i="3"/>
  <c r="CG81" i="3"/>
  <c r="CK81" i="3"/>
  <c r="CO81" i="3"/>
  <c r="CA81" i="3"/>
  <c r="CE81" i="3"/>
  <c r="CI81" i="3"/>
  <c r="CM81" i="3"/>
  <c r="CB81" i="3"/>
  <c r="CJ81" i="3"/>
  <c r="CD81" i="3"/>
  <c r="CL81" i="3"/>
  <c r="CF81" i="3"/>
  <c r="CH81" i="3"/>
  <c r="BF81" i="3"/>
  <c r="BN81" i="3"/>
  <c r="BR81" i="3"/>
  <c r="BV81" i="3"/>
  <c r="CN81" i="3"/>
  <c r="BK81" i="3"/>
  <c r="BP81" i="3"/>
  <c r="BU81" i="3"/>
  <c r="BM81" i="3"/>
  <c r="BG81" i="3"/>
  <c r="BL81" i="3"/>
  <c r="BQ81" i="3"/>
  <c r="BW81" i="3"/>
  <c r="BX81" i="3"/>
  <c r="BH81" i="3"/>
  <c r="BS81" i="3"/>
  <c r="BO81" i="3"/>
  <c r="BT81" i="3"/>
  <c r="BZ81" i="3"/>
  <c r="BI81" i="3"/>
  <c r="AQ81" i="3"/>
  <c r="AU81" i="3"/>
  <c r="AY81" i="3"/>
  <c r="BC81" i="3"/>
  <c r="AP81" i="3"/>
  <c r="AV81" i="3"/>
  <c r="BA81" i="3"/>
  <c r="AN81" i="3"/>
  <c r="AS81" i="3"/>
  <c r="AX81" i="3"/>
  <c r="BD81" i="3"/>
  <c r="AT81" i="3"/>
  <c r="BE81" i="3"/>
  <c r="W81" i="3"/>
  <c r="AA81" i="3"/>
  <c r="AE81" i="3"/>
  <c r="AI81" i="3"/>
  <c r="AM81" i="3"/>
  <c r="AO81" i="3"/>
  <c r="AZ81" i="3"/>
  <c r="Y81" i="3"/>
  <c r="AC81" i="3"/>
  <c r="AG81" i="3"/>
  <c r="AK81" i="3"/>
  <c r="AR81" i="3"/>
  <c r="V81" i="3"/>
  <c r="AD81" i="3"/>
  <c r="AL81" i="3"/>
  <c r="Z81" i="3"/>
  <c r="AJ81" i="3"/>
  <c r="AW81" i="3"/>
  <c r="X81" i="3"/>
  <c r="AF81" i="3"/>
  <c r="BB81" i="3"/>
  <c r="AH81" i="3"/>
  <c r="AB81" i="3"/>
  <c r="BY83" i="3"/>
  <c r="CC83" i="3"/>
  <c r="CG83" i="3"/>
  <c r="CK83" i="3"/>
  <c r="CO83" i="3"/>
  <c r="CA83" i="3"/>
  <c r="CE83" i="3"/>
  <c r="CI83" i="3"/>
  <c r="CM83" i="3"/>
  <c r="BX83" i="3"/>
  <c r="CF83" i="3"/>
  <c r="CN83" i="3"/>
  <c r="BZ83" i="3"/>
  <c r="CH83" i="3"/>
  <c r="CB83" i="3"/>
  <c r="CD83" i="3"/>
  <c r="BF83" i="3"/>
  <c r="BN83" i="3"/>
  <c r="BR83" i="3"/>
  <c r="BV83" i="3"/>
  <c r="CJ83" i="3"/>
  <c r="BG83" i="3"/>
  <c r="BL83" i="3"/>
  <c r="BQ83" i="3"/>
  <c r="BW83" i="3"/>
  <c r="BI83" i="3"/>
  <c r="BO83" i="3"/>
  <c r="CL83" i="3"/>
  <c r="BH83" i="3"/>
  <c r="BM83" i="3"/>
  <c r="BS83" i="3"/>
  <c r="BT83" i="3"/>
  <c r="BU83" i="3"/>
  <c r="BK83" i="3"/>
  <c r="BP83" i="3"/>
  <c r="AQ83" i="3"/>
  <c r="AU83" i="3"/>
  <c r="AY83" i="3"/>
  <c r="BC83" i="3"/>
  <c r="AO83" i="3"/>
  <c r="AS83" i="3"/>
  <c r="AW83" i="3"/>
  <c r="BA83" i="3"/>
  <c r="BE83" i="3"/>
  <c r="AP83" i="3"/>
  <c r="AX83" i="3"/>
  <c r="W83" i="3"/>
  <c r="AA83" i="3"/>
  <c r="AE83" i="3"/>
  <c r="AI83" i="3"/>
  <c r="AM83" i="3"/>
  <c r="AT83" i="3"/>
  <c r="BB83" i="3"/>
  <c r="Y83" i="3"/>
  <c r="AC83" i="3"/>
  <c r="AG83" i="3"/>
  <c r="AK83" i="3"/>
  <c r="AV83" i="3"/>
  <c r="Z83" i="3"/>
  <c r="AH83" i="3"/>
  <c r="AN83" i="3"/>
  <c r="V83" i="3"/>
  <c r="AL83" i="3"/>
  <c r="AF83" i="3"/>
  <c r="AZ83" i="3"/>
  <c r="AB83" i="3"/>
  <c r="AJ83" i="3"/>
  <c r="BD83" i="3"/>
  <c r="AD83" i="3"/>
  <c r="AR83" i="3"/>
  <c r="X83" i="3"/>
  <c r="BY85" i="3"/>
  <c r="CC85" i="3"/>
  <c r="CG85" i="3"/>
  <c r="CK85" i="3"/>
  <c r="CO85" i="3"/>
  <c r="CA85" i="3"/>
  <c r="CE85" i="3"/>
  <c r="CI85" i="3"/>
  <c r="CM85" i="3"/>
  <c r="CB85" i="3"/>
  <c r="CJ85" i="3"/>
  <c r="CD85" i="3"/>
  <c r="CL85" i="3"/>
  <c r="BX85" i="3"/>
  <c r="CN85" i="3"/>
  <c r="BZ85" i="3"/>
  <c r="BF85" i="3"/>
  <c r="BN85" i="3"/>
  <c r="BR85" i="3"/>
  <c r="BV85" i="3"/>
  <c r="CF85" i="3"/>
  <c r="BH85" i="3"/>
  <c r="BM85" i="3"/>
  <c r="BS85" i="3"/>
  <c r="BK85" i="3"/>
  <c r="BU85" i="3"/>
  <c r="CH85" i="3"/>
  <c r="BI85" i="3"/>
  <c r="BO85" i="3"/>
  <c r="BT85" i="3"/>
  <c r="BP85" i="3"/>
  <c r="BG85" i="3"/>
  <c r="BQ85" i="3"/>
  <c r="BW85" i="3"/>
  <c r="BL85" i="3"/>
  <c r="AQ85" i="3"/>
  <c r="AU85" i="3"/>
  <c r="AY85" i="3"/>
  <c r="BC85" i="3"/>
  <c r="AO85" i="3"/>
  <c r="AS85" i="3"/>
  <c r="AW85" i="3"/>
  <c r="BA85" i="3"/>
  <c r="BE85" i="3"/>
  <c r="AT85" i="3"/>
  <c r="BB85" i="3"/>
  <c r="W85" i="3"/>
  <c r="AA85" i="3"/>
  <c r="AE85" i="3"/>
  <c r="AI85" i="3"/>
  <c r="AM85" i="3"/>
  <c r="AP85" i="3"/>
  <c r="AX85" i="3"/>
  <c r="Y85" i="3"/>
  <c r="AC85" i="3"/>
  <c r="AG85" i="3"/>
  <c r="AK85" i="3"/>
  <c r="AR85" i="3"/>
  <c r="V85" i="3"/>
  <c r="AD85" i="3"/>
  <c r="AL85" i="3"/>
  <c r="Z85" i="3"/>
  <c r="BD85" i="3"/>
  <c r="AB85" i="3"/>
  <c r="AV85" i="3"/>
  <c r="X85" i="3"/>
  <c r="AF85" i="3"/>
  <c r="AZ85" i="3"/>
  <c r="AH85" i="3"/>
  <c r="AN85" i="3"/>
  <c r="AJ85" i="3"/>
  <c r="BY87" i="3"/>
  <c r="CC87" i="3"/>
  <c r="CG87" i="3"/>
  <c r="CK87" i="3"/>
  <c r="CO87" i="3"/>
  <c r="CA87" i="3"/>
  <c r="CE87" i="3"/>
  <c r="CI87" i="3"/>
  <c r="CM87" i="3"/>
  <c r="BX87" i="3"/>
  <c r="CF87" i="3"/>
  <c r="CN87" i="3"/>
  <c r="BZ87" i="3"/>
  <c r="CH87" i="3"/>
  <c r="CJ87" i="3"/>
  <c r="CL87" i="3"/>
  <c r="BF87" i="3"/>
  <c r="BN87" i="3"/>
  <c r="BR87" i="3"/>
  <c r="BV87" i="3"/>
  <c r="CB87" i="3"/>
  <c r="BI87" i="3"/>
  <c r="BO87" i="3"/>
  <c r="BT87" i="3"/>
  <c r="BG87" i="3"/>
  <c r="BQ87" i="3"/>
  <c r="CD87" i="3"/>
  <c r="BK87" i="3"/>
  <c r="BP87" i="3"/>
  <c r="BU87" i="3"/>
  <c r="BL87" i="3"/>
  <c r="BW87" i="3"/>
  <c r="BM87" i="3"/>
  <c r="BH87" i="3"/>
  <c r="BS87" i="3"/>
  <c r="AQ87" i="3"/>
  <c r="AU87" i="3"/>
  <c r="AY87" i="3"/>
  <c r="BC87" i="3"/>
  <c r="AO87" i="3"/>
  <c r="AS87" i="3"/>
  <c r="AW87" i="3"/>
  <c r="BA87" i="3"/>
  <c r="BE87" i="3"/>
  <c r="AP87" i="3"/>
  <c r="AX87" i="3"/>
  <c r="W87" i="3"/>
  <c r="AA87" i="3"/>
  <c r="AE87" i="3"/>
  <c r="AI87" i="3"/>
  <c r="AM87" i="3"/>
  <c r="AT87" i="3"/>
  <c r="BB87" i="3"/>
  <c r="Y87" i="3"/>
  <c r="AC87" i="3"/>
  <c r="AG87" i="3"/>
  <c r="AK87" i="3"/>
  <c r="AN87" i="3"/>
  <c r="BD87" i="3"/>
  <c r="Z87" i="3"/>
  <c r="AH87" i="3"/>
  <c r="V87" i="3"/>
  <c r="AL87" i="3"/>
  <c r="X87" i="3"/>
  <c r="AR87" i="3"/>
  <c r="AB87" i="3"/>
  <c r="AJ87" i="3"/>
  <c r="AV87" i="3"/>
  <c r="AD87" i="3"/>
  <c r="AZ87" i="3"/>
  <c r="AF87" i="3"/>
  <c r="CA91" i="3"/>
  <c r="CE91" i="3"/>
  <c r="CI91" i="3"/>
  <c r="CM91" i="3"/>
  <c r="BY91" i="3"/>
  <c r="CD91" i="3"/>
  <c r="CJ91" i="3"/>
  <c r="CO91" i="3"/>
  <c r="BZ91" i="3"/>
  <c r="CF91" i="3"/>
  <c r="CK91" i="3"/>
  <c r="CB91" i="3"/>
  <c r="CL91" i="3"/>
  <c r="CC91" i="3"/>
  <c r="CN91" i="3"/>
  <c r="BF91" i="3"/>
  <c r="BJ91" i="3"/>
  <c r="BN91" i="3"/>
  <c r="BR91" i="3"/>
  <c r="BV91" i="3"/>
  <c r="CG91" i="3"/>
  <c r="BG91" i="3"/>
  <c r="BL91" i="3"/>
  <c r="BQ91" i="3"/>
  <c r="BW91" i="3"/>
  <c r="BO91" i="3"/>
  <c r="CH91" i="3"/>
  <c r="BH91" i="3"/>
  <c r="BM91" i="3"/>
  <c r="BS91" i="3"/>
  <c r="BI91" i="3"/>
  <c r="BT91" i="3"/>
  <c r="BX91" i="3"/>
  <c r="BK91" i="3"/>
  <c r="BP91" i="3"/>
  <c r="BU91" i="3"/>
  <c r="AQ91" i="3"/>
  <c r="AU91" i="3"/>
  <c r="AY91" i="3"/>
  <c r="BC91" i="3"/>
  <c r="AO91" i="3"/>
  <c r="AS91" i="3"/>
  <c r="AW91" i="3"/>
  <c r="BA91" i="3"/>
  <c r="BE91" i="3"/>
  <c r="AP91" i="3"/>
  <c r="AX91" i="3"/>
  <c r="W91" i="3"/>
  <c r="AA91" i="3"/>
  <c r="AE91" i="3"/>
  <c r="AI91" i="3"/>
  <c r="AM91" i="3"/>
  <c r="AT91" i="3"/>
  <c r="BB91" i="3"/>
  <c r="Y91" i="3"/>
  <c r="AC91" i="3"/>
  <c r="AG91" i="3"/>
  <c r="AK91" i="3"/>
  <c r="AV91" i="3"/>
  <c r="AH91" i="3"/>
  <c r="BD91" i="3"/>
  <c r="V91" i="3"/>
  <c r="AL91" i="3"/>
  <c r="X91" i="3"/>
  <c r="AZ91" i="3"/>
  <c r="AB91" i="3"/>
  <c r="AJ91" i="3"/>
  <c r="AN91" i="3"/>
  <c r="AD91" i="3"/>
  <c r="AR91" i="3"/>
  <c r="AF91" i="3"/>
  <c r="CA93" i="3"/>
  <c r="CE93" i="3"/>
  <c r="CI93" i="3"/>
  <c r="CM93" i="3"/>
  <c r="BZ93" i="3"/>
  <c r="CF93" i="3"/>
  <c r="CK93" i="3"/>
  <c r="CB93" i="3"/>
  <c r="CG93" i="3"/>
  <c r="CL93" i="3"/>
  <c r="BX93" i="3"/>
  <c r="CH93" i="3"/>
  <c r="BY93" i="3"/>
  <c r="CJ93" i="3"/>
  <c r="BF93" i="3"/>
  <c r="BN93" i="3"/>
  <c r="BR93" i="3"/>
  <c r="BV93" i="3"/>
  <c r="CN93" i="3"/>
  <c r="BH93" i="3"/>
  <c r="BM93" i="3"/>
  <c r="BS93" i="3"/>
  <c r="BK93" i="3"/>
  <c r="BU93" i="3"/>
  <c r="CO93" i="3"/>
  <c r="BI93" i="3"/>
  <c r="BO93" i="3"/>
  <c r="BT93" i="3"/>
  <c r="CC93" i="3"/>
  <c r="BP93" i="3"/>
  <c r="BL93" i="3"/>
  <c r="BQ93" i="3"/>
  <c r="CD93" i="3"/>
  <c r="BW93" i="3"/>
  <c r="BG93" i="3"/>
  <c r="AQ93" i="3"/>
  <c r="AU93" i="3"/>
  <c r="AY93" i="3"/>
  <c r="BC93" i="3"/>
  <c r="AO93" i="3"/>
  <c r="AS93" i="3"/>
  <c r="AW93" i="3"/>
  <c r="BA93" i="3"/>
  <c r="BE93" i="3"/>
  <c r="AT93" i="3"/>
  <c r="BB93" i="3"/>
  <c r="W93" i="3"/>
  <c r="AA93" i="3"/>
  <c r="AE93" i="3"/>
  <c r="AI93" i="3"/>
  <c r="AM93" i="3"/>
  <c r="AP93" i="3"/>
  <c r="AX93" i="3"/>
  <c r="Y93" i="3"/>
  <c r="AC93" i="3"/>
  <c r="AG93" i="3"/>
  <c r="AK93" i="3"/>
  <c r="AR93" i="3"/>
  <c r="V93" i="3"/>
  <c r="AD93" i="3"/>
  <c r="AL93" i="3"/>
  <c r="AZ93" i="3"/>
  <c r="AH93" i="3"/>
  <c r="BD93" i="3"/>
  <c r="AJ93" i="3"/>
  <c r="AV93" i="3"/>
  <c r="X93" i="3"/>
  <c r="AF93" i="3"/>
  <c r="Z93" i="3"/>
  <c r="AN93" i="3"/>
  <c r="AB93" i="3"/>
  <c r="CA10" i="3"/>
  <c r="CE10" i="3"/>
  <c r="CI10" i="3"/>
  <c r="CM10" i="3"/>
  <c r="BY10" i="3"/>
  <c r="CC10" i="3"/>
  <c r="CG10" i="3"/>
  <c r="CK10" i="3"/>
  <c r="CO10" i="3"/>
  <c r="CB10" i="3"/>
  <c r="CJ10" i="3"/>
  <c r="BX10" i="3"/>
  <c r="CF10" i="3"/>
  <c r="CN10" i="3"/>
  <c r="CL10" i="3"/>
  <c r="BZ10" i="3"/>
  <c r="CD10" i="3"/>
  <c r="CH10" i="3"/>
  <c r="BG10" i="3"/>
  <c r="BK10" i="3"/>
  <c r="BO10" i="3"/>
  <c r="BS10" i="3"/>
  <c r="BW10" i="3"/>
  <c r="BH10" i="3"/>
  <c r="BL10" i="3"/>
  <c r="BP10" i="3"/>
  <c r="BT10" i="3"/>
  <c r="BJ10" i="3"/>
  <c r="BR10" i="3"/>
  <c r="BM10" i="3"/>
  <c r="BU10" i="3"/>
  <c r="BF10" i="3"/>
  <c r="BV10" i="3"/>
  <c r="BI10" i="3"/>
  <c r="BN10" i="3"/>
  <c r="BQ10" i="3"/>
  <c r="AQ10" i="3"/>
  <c r="AU10" i="3"/>
  <c r="AY10" i="3"/>
  <c r="BC10" i="3"/>
  <c r="AO10" i="3"/>
  <c r="AS10" i="3"/>
  <c r="AW10" i="3"/>
  <c r="BA10" i="3"/>
  <c r="BE10" i="3"/>
  <c r="AN10" i="3"/>
  <c r="AV10" i="3"/>
  <c r="BD10" i="3"/>
  <c r="Y10" i="3"/>
  <c r="AC10" i="3"/>
  <c r="AG10" i="3"/>
  <c r="AK10" i="3"/>
  <c r="AR10" i="3"/>
  <c r="AZ10" i="3"/>
  <c r="W10" i="3"/>
  <c r="AA10" i="3"/>
  <c r="AE10" i="3"/>
  <c r="AI10" i="3"/>
  <c r="AM10" i="3"/>
  <c r="AP10" i="3"/>
  <c r="V10" i="3"/>
  <c r="AD10" i="3"/>
  <c r="AL10" i="3"/>
  <c r="AX10" i="3"/>
  <c r="Z10" i="3"/>
  <c r="AH10" i="3"/>
  <c r="BB10" i="3"/>
  <c r="AT10" i="3"/>
  <c r="AF10" i="3"/>
  <c r="AJ10" i="3"/>
  <c r="AB10" i="3"/>
  <c r="BY7" i="3"/>
  <c r="CC7" i="3"/>
  <c r="CG7" i="3"/>
  <c r="CK7" i="3"/>
  <c r="CO7" i="3"/>
  <c r="CA7" i="3"/>
  <c r="CE7" i="3"/>
  <c r="CI7" i="3"/>
  <c r="CM7" i="3"/>
  <c r="BZ7" i="3"/>
  <c r="CH7" i="3"/>
  <c r="CD7" i="3"/>
  <c r="CL7" i="3"/>
  <c r="CB7" i="3"/>
  <c r="CF7" i="3"/>
  <c r="CJ7" i="3"/>
  <c r="CN7" i="3"/>
  <c r="BI7" i="3"/>
  <c r="BM7" i="3"/>
  <c r="BQ7" i="3"/>
  <c r="BU7" i="3"/>
  <c r="BF7" i="3"/>
  <c r="BJ7" i="3"/>
  <c r="BN7" i="3"/>
  <c r="BR7" i="3"/>
  <c r="BV7" i="3"/>
  <c r="BH7" i="3"/>
  <c r="BP7" i="3"/>
  <c r="BK7" i="3"/>
  <c r="BS7" i="3"/>
  <c r="BO7" i="3"/>
  <c r="BT7" i="3"/>
  <c r="BW7" i="3"/>
  <c r="BX7" i="3"/>
  <c r="BG7" i="3"/>
  <c r="AO7" i="3"/>
  <c r="AS7" i="3"/>
  <c r="AW7" i="3"/>
  <c r="BA7" i="3"/>
  <c r="BE7" i="3"/>
  <c r="AQ7" i="3"/>
  <c r="AU7" i="3"/>
  <c r="AY7" i="3"/>
  <c r="BC7" i="3"/>
  <c r="AT7" i="3"/>
  <c r="BB7" i="3"/>
  <c r="W7" i="3"/>
  <c r="AA7" i="3"/>
  <c r="AE7" i="3"/>
  <c r="AI7" i="3"/>
  <c r="AM7" i="3"/>
  <c r="AP7" i="3"/>
  <c r="AX7" i="3"/>
  <c r="Y7" i="3"/>
  <c r="AC7" i="3"/>
  <c r="AG7" i="3"/>
  <c r="AK7" i="3"/>
  <c r="AV7" i="3"/>
  <c r="AB7" i="3"/>
  <c r="AJ7" i="3"/>
  <c r="AN7" i="3"/>
  <c r="BD7" i="3"/>
  <c r="X7" i="3"/>
  <c r="AF7" i="3"/>
  <c r="AR7" i="3"/>
  <c r="AD7" i="3"/>
  <c r="V7" i="3"/>
  <c r="AZ7" i="3"/>
  <c r="AH7" i="3"/>
  <c r="AL7" i="3"/>
  <c r="Z7" i="3"/>
  <c r="CA14" i="3"/>
  <c r="CE14" i="3"/>
  <c r="CI14" i="3"/>
  <c r="CM14" i="3"/>
  <c r="BY14" i="3"/>
  <c r="CC14" i="3"/>
  <c r="CG14" i="3"/>
  <c r="CK14" i="3"/>
  <c r="CO14" i="3"/>
  <c r="CB14" i="3"/>
  <c r="CJ14" i="3"/>
  <c r="BX14" i="3"/>
  <c r="CF14" i="3"/>
  <c r="CN14" i="3"/>
  <c r="CD14" i="3"/>
  <c r="CH14" i="3"/>
  <c r="CL14" i="3"/>
  <c r="BG14" i="3"/>
  <c r="BK14" i="3"/>
  <c r="BO14" i="3"/>
  <c r="BS14" i="3"/>
  <c r="BW14" i="3"/>
  <c r="BH14" i="3"/>
  <c r="BL14" i="3"/>
  <c r="BP14" i="3"/>
  <c r="BT14" i="3"/>
  <c r="BZ14" i="3"/>
  <c r="BJ14" i="3"/>
  <c r="BR14" i="3"/>
  <c r="BM14" i="3"/>
  <c r="BU14" i="3"/>
  <c r="BN14" i="3"/>
  <c r="BQ14" i="3"/>
  <c r="BF14" i="3"/>
  <c r="BV14" i="3"/>
  <c r="BI14" i="3"/>
  <c r="AQ14" i="3"/>
  <c r="AU14" i="3"/>
  <c r="AY14" i="3"/>
  <c r="BC14" i="3"/>
  <c r="AO14" i="3"/>
  <c r="AS14" i="3"/>
  <c r="AW14" i="3"/>
  <c r="BA14" i="3"/>
  <c r="BE14" i="3"/>
  <c r="AN14" i="3"/>
  <c r="AV14" i="3"/>
  <c r="BD14" i="3"/>
  <c r="Y14" i="3"/>
  <c r="AC14" i="3"/>
  <c r="AG14" i="3"/>
  <c r="AK14" i="3"/>
  <c r="AR14" i="3"/>
  <c r="AZ14" i="3"/>
  <c r="W14" i="3"/>
  <c r="AA14" i="3"/>
  <c r="AE14" i="3"/>
  <c r="AI14" i="3"/>
  <c r="AM14" i="3"/>
  <c r="AX14" i="3"/>
  <c r="V14" i="3"/>
  <c r="AL14" i="3"/>
  <c r="AP14" i="3"/>
  <c r="Z14" i="3"/>
  <c r="AH14" i="3"/>
  <c r="AT14" i="3"/>
  <c r="AF14" i="3"/>
  <c r="X14" i="3"/>
  <c r="AB14" i="3"/>
  <c r="BB14" i="3"/>
  <c r="AJ14" i="3"/>
  <c r="CA24" i="3"/>
  <c r="CE24" i="3"/>
  <c r="CI24" i="3"/>
  <c r="CM24" i="3"/>
  <c r="BY24" i="3"/>
  <c r="CC24" i="3"/>
  <c r="CG24" i="3"/>
  <c r="CK24" i="3"/>
  <c r="CO24" i="3"/>
  <c r="CD24" i="3"/>
  <c r="CL24" i="3"/>
  <c r="BZ24" i="3"/>
  <c r="CH24" i="3"/>
  <c r="CJ24" i="3"/>
  <c r="BX24" i="3"/>
  <c r="CN24" i="3"/>
  <c r="CB24" i="3"/>
  <c r="CF24" i="3"/>
  <c r="BH24" i="3"/>
  <c r="BL24" i="3"/>
  <c r="BP24" i="3"/>
  <c r="BT24" i="3"/>
  <c r="BF24" i="3"/>
  <c r="BK24" i="3"/>
  <c r="BQ24" i="3"/>
  <c r="BV24" i="3"/>
  <c r="BG24" i="3"/>
  <c r="BM24" i="3"/>
  <c r="BR24" i="3"/>
  <c r="BW24" i="3"/>
  <c r="BJ24" i="3"/>
  <c r="BU24" i="3"/>
  <c r="BN24" i="3"/>
  <c r="BO24" i="3"/>
  <c r="BS24" i="3"/>
  <c r="BI24" i="3"/>
  <c r="AQ24" i="3"/>
  <c r="AU24" i="3"/>
  <c r="AY24" i="3"/>
  <c r="BC24" i="3"/>
  <c r="AO24" i="3"/>
  <c r="AS24" i="3"/>
  <c r="AW24" i="3"/>
  <c r="BA24" i="3"/>
  <c r="BE24" i="3"/>
  <c r="AP24" i="3"/>
  <c r="AX24" i="3"/>
  <c r="Y24" i="3"/>
  <c r="AC24" i="3"/>
  <c r="AG24" i="3"/>
  <c r="AK24" i="3"/>
  <c r="AT24" i="3"/>
  <c r="BB24" i="3"/>
  <c r="W24" i="3"/>
  <c r="AA24" i="3"/>
  <c r="AE24" i="3"/>
  <c r="AI24" i="3"/>
  <c r="AM24" i="3"/>
  <c r="AN24" i="3"/>
  <c r="BD24" i="3"/>
  <c r="X24" i="3"/>
  <c r="AF24" i="3"/>
  <c r="AV24" i="3"/>
  <c r="AB24" i="3"/>
  <c r="AJ24" i="3"/>
  <c r="AZ24" i="3"/>
  <c r="V24" i="3"/>
  <c r="AL24" i="3"/>
  <c r="AR24" i="3"/>
  <c r="Z24" i="3"/>
  <c r="AD24" i="3"/>
  <c r="AH24" i="3"/>
  <c r="CA45" i="3"/>
  <c r="CE45" i="3"/>
  <c r="BZ45" i="3"/>
  <c r="CF45" i="3"/>
  <c r="CJ45" i="3"/>
  <c r="CN45" i="3"/>
  <c r="CC45" i="3"/>
  <c r="CI45" i="3"/>
  <c r="CO45" i="3"/>
  <c r="CB45" i="3"/>
  <c r="CK45" i="3"/>
  <c r="BX45" i="3"/>
  <c r="CG45" i="3"/>
  <c r="CM45" i="3"/>
  <c r="BY45" i="3"/>
  <c r="CD45" i="3"/>
  <c r="BI45" i="3"/>
  <c r="BM45" i="3"/>
  <c r="BQ45" i="3"/>
  <c r="BU45" i="3"/>
  <c r="BF45" i="3"/>
  <c r="BJ45" i="3"/>
  <c r="BN45" i="3"/>
  <c r="BR45" i="3"/>
  <c r="BV45" i="3"/>
  <c r="CH45" i="3"/>
  <c r="BL45" i="3"/>
  <c r="BT45" i="3"/>
  <c r="BP45" i="3"/>
  <c r="CL45" i="3"/>
  <c r="BG45" i="3"/>
  <c r="BO45" i="3"/>
  <c r="BW45" i="3"/>
  <c r="BK45" i="3"/>
  <c r="BS45" i="3"/>
  <c r="AO45" i="3"/>
  <c r="AS45" i="3"/>
  <c r="AW45" i="3"/>
  <c r="BA45" i="3"/>
  <c r="BE45" i="3"/>
  <c r="AQ45" i="3"/>
  <c r="AU45" i="3"/>
  <c r="AY45" i="3"/>
  <c r="BC45" i="3"/>
  <c r="AN45" i="3"/>
  <c r="AV45" i="3"/>
  <c r="BD45" i="3"/>
  <c r="AR45" i="3"/>
  <c r="AZ45" i="3"/>
  <c r="Y45" i="3"/>
  <c r="AC45" i="3"/>
  <c r="AG45" i="3"/>
  <c r="AK45" i="3"/>
  <c r="AT45" i="3"/>
  <c r="X45" i="3"/>
  <c r="AD45" i="3"/>
  <c r="AI45" i="3"/>
  <c r="BB45" i="3"/>
  <c r="V45" i="3"/>
  <c r="AA45" i="3"/>
  <c r="AF45" i="3"/>
  <c r="AL45" i="3"/>
  <c r="W45" i="3"/>
  <c r="AH45" i="3"/>
  <c r="AM45" i="3"/>
  <c r="AE45" i="3"/>
  <c r="Z45" i="3"/>
  <c r="AJ45" i="3"/>
  <c r="AP45" i="3"/>
  <c r="AB45" i="3"/>
  <c r="AX45" i="3"/>
  <c r="BX47" i="3"/>
  <c r="CB47" i="3"/>
  <c r="CF47" i="3"/>
  <c r="CJ47" i="3"/>
  <c r="CN47" i="3"/>
  <c r="BZ47" i="3"/>
  <c r="CE47" i="3"/>
  <c r="CK47" i="3"/>
  <c r="CC47" i="3"/>
  <c r="CI47" i="3"/>
  <c r="BY47" i="3"/>
  <c r="CG47" i="3"/>
  <c r="CM47" i="3"/>
  <c r="CH47" i="3"/>
  <c r="CL47" i="3"/>
  <c r="CO47" i="3"/>
  <c r="BI47" i="3"/>
  <c r="BM47" i="3"/>
  <c r="BQ47" i="3"/>
  <c r="BU47" i="3"/>
  <c r="BF47" i="3"/>
  <c r="BJ47" i="3"/>
  <c r="BN47" i="3"/>
  <c r="BR47" i="3"/>
  <c r="BV47" i="3"/>
  <c r="BP47" i="3"/>
  <c r="BL47" i="3"/>
  <c r="BK47" i="3"/>
  <c r="BS47" i="3"/>
  <c r="CA47" i="3"/>
  <c r="BT47" i="3"/>
  <c r="BW47" i="3"/>
  <c r="CD47" i="3"/>
  <c r="BG47" i="3"/>
  <c r="BO47" i="3"/>
  <c r="AO47" i="3"/>
  <c r="AS47" i="3"/>
  <c r="AW47" i="3"/>
  <c r="BA47" i="3"/>
  <c r="BE47" i="3"/>
  <c r="AQ47" i="3"/>
  <c r="AU47" i="3"/>
  <c r="AY47" i="3"/>
  <c r="BC47" i="3"/>
  <c r="AR47" i="3"/>
  <c r="AZ47" i="3"/>
  <c r="AN47" i="3"/>
  <c r="AV47" i="3"/>
  <c r="BD47" i="3"/>
  <c r="Y47" i="3"/>
  <c r="AC47" i="3"/>
  <c r="AG47" i="3"/>
  <c r="AK47" i="3"/>
  <c r="AP47" i="3"/>
  <c r="Z47" i="3"/>
  <c r="AE47" i="3"/>
  <c r="AJ47" i="3"/>
  <c r="AX47" i="3"/>
  <c r="W47" i="3"/>
  <c r="AB47" i="3"/>
  <c r="AH47" i="3"/>
  <c r="AM47" i="3"/>
  <c r="BB47" i="3"/>
  <c r="AD47" i="3"/>
  <c r="X47" i="3"/>
  <c r="AT47" i="3"/>
  <c r="AA47" i="3"/>
  <c r="V47" i="3"/>
  <c r="AF47" i="3"/>
  <c r="AI47" i="3"/>
  <c r="AL47" i="3"/>
  <c r="BX61" i="3"/>
  <c r="CB61" i="3"/>
  <c r="CF61" i="3"/>
  <c r="CJ61" i="3"/>
  <c r="CN61" i="3"/>
  <c r="BY61" i="3"/>
  <c r="CD61" i="3"/>
  <c r="CI61" i="3"/>
  <c r="CO61" i="3"/>
  <c r="BZ61" i="3"/>
  <c r="CG61" i="3"/>
  <c r="CM61" i="3"/>
  <c r="CC61" i="3"/>
  <c r="CK61" i="3"/>
  <c r="CL61" i="3"/>
  <c r="CA61" i="3"/>
  <c r="BI61" i="3"/>
  <c r="BM61" i="3"/>
  <c r="BQ61" i="3"/>
  <c r="BU61" i="3"/>
  <c r="BF61" i="3"/>
  <c r="BJ61" i="3"/>
  <c r="BN61" i="3"/>
  <c r="BR61" i="3"/>
  <c r="BV61" i="3"/>
  <c r="CE61" i="3"/>
  <c r="BL61" i="3"/>
  <c r="BT61" i="3"/>
  <c r="BP61" i="3"/>
  <c r="CH61" i="3"/>
  <c r="BG61" i="3"/>
  <c r="BO61" i="3"/>
  <c r="BW61" i="3"/>
  <c r="BH61" i="3"/>
  <c r="BK61" i="3"/>
  <c r="BS61" i="3"/>
  <c r="AO61" i="3"/>
  <c r="AS61" i="3"/>
  <c r="AW61" i="3"/>
  <c r="BA61" i="3"/>
  <c r="BE61" i="3"/>
  <c r="AQ61" i="3"/>
  <c r="AU61" i="3"/>
  <c r="AY61" i="3"/>
  <c r="BC61" i="3"/>
  <c r="AN61" i="3"/>
  <c r="AV61" i="3"/>
  <c r="BD61" i="3"/>
  <c r="AR61" i="3"/>
  <c r="AZ61" i="3"/>
  <c r="Y61" i="3"/>
  <c r="AC61" i="3"/>
  <c r="AG61" i="3"/>
  <c r="AK61" i="3"/>
  <c r="AT61" i="3"/>
  <c r="X61" i="3"/>
  <c r="AD61" i="3"/>
  <c r="AI61" i="3"/>
  <c r="BB61" i="3"/>
  <c r="V61" i="3"/>
  <c r="AA61" i="3"/>
  <c r="AF61" i="3"/>
  <c r="AL61" i="3"/>
  <c r="W61" i="3"/>
  <c r="AH61" i="3"/>
  <c r="AE61" i="3"/>
  <c r="Z61" i="3"/>
  <c r="AJ61" i="3"/>
  <c r="AP61" i="3"/>
  <c r="AM61" i="3"/>
  <c r="AX61" i="3"/>
  <c r="BY73" i="3"/>
  <c r="CC73" i="3"/>
  <c r="CG73" i="3"/>
  <c r="CK73" i="3"/>
  <c r="CO73" i="3"/>
  <c r="BZ73" i="3"/>
  <c r="CE73" i="3"/>
  <c r="CJ73" i="3"/>
  <c r="CB73" i="3"/>
  <c r="CH73" i="3"/>
  <c r="CM73" i="3"/>
  <c r="CD73" i="3"/>
  <c r="CN73" i="3"/>
  <c r="CF73" i="3"/>
  <c r="CI73" i="3"/>
  <c r="CL73" i="3"/>
  <c r="BF73" i="3"/>
  <c r="BJ73" i="3"/>
  <c r="BN73" i="3"/>
  <c r="BR73" i="3"/>
  <c r="BV73" i="3"/>
  <c r="BX73" i="3"/>
  <c r="BK73" i="3"/>
  <c r="BP73" i="3"/>
  <c r="BU73" i="3"/>
  <c r="BM73" i="3"/>
  <c r="CA73" i="3"/>
  <c r="BG73" i="3"/>
  <c r="BL73" i="3"/>
  <c r="BW73" i="3"/>
  <c r="BH73" i="3"/>
  <c r="BS73" i="3"/>
  <c r="BI73" i="3"/>
  <c r="BT73" i="3"/>
  <c r="BO73" i="3"/>
  <c r="AQ73" i="3"/>
  <c r="AU73" i="3"/>
  <c r="AY73" i="3"/>
  <c r="BC73" i="3"/>
  <c r="AP73" i="3"/>
  <c r="AV73" i="3"/>
  <c r="BA73" i="3"/>
  <c r="AN73" i="3"/>
  <c r="AS73" i="3"/>
  <c r="AX73" i="3"/>
  <c r="BD73" i="3"/>
  <c r="AO73" i="3"/>
  <c r="AZ73" i="3"/>
  <c r="W73" i="3"/>
  <c r="AA73" i="3"/>
  <c r="AE73" i="3"/>
  <c r="AI73" i="3"/>
  <c r="AM73" i="3"/>
  <c r="AT73" i="3"/>
  <c r="BE73" i="3"/>
  <c r="Y73" i="3"/>
  <c r="AC73" i="3"/>
  <c r="AG73" i="3"/>
  <c r="AK73" i="3"/>
  <c r="V73" i="3"/>
  <c r="AD73" i="3"/>
  <c r="AL73" i="3"/>
  <c r="AW73" i="3"/>
  <c r="Z73" i="3"/>
  <c r="AB73" i="3"/>
  <c r="AR73" i="3"/>
  <c r="X73" i="3"/>
  <c r="AF73" i="3"/>
  <c r="AH73" i="3"/>
  <c r="BB73" i="3"/>
  <c r="AJ73" i="3"/>
  <c r="BY89" i="3"/>
  <c r="CC89" i="3"/>
  <c r="CA89" i="3"/>
  <c r="CE89" i="3"/>
  <c r="CI89" i="3"/>
  <c r="CM89" i="3"/>
  <c r="CB89" i="3"/>
  <c r="CH89" i="3"/>
  <c r="CN89" i="3"/>
  <c r="CD89" i="3"/>
  <c r="CJ89" i="3"/>
  <c r="CO89" i="3"/>
  <c r="CF89" i="3"/>
  <c r="CG89" i="3"/>
  <c r="BF89" i="3"/>
  <c r="BJ89" i="3"/>
  <c r="BN89" i="3"/>
  <c r="BR89" i="3"/>
  <c r="BV89" i="3"/>
  <c r="BX89" i="3"/>
  <c r="BK89" i="3"/>
  <c r="BP89" i="3"/>
  <c r="BU89" i="3"/>
  <c r="BS89" i="3"/>
  <c r="BZ89" i="3"/>
  <c r="BG89" i="3"/>
  <c r="BL89" i="3"/>
  <c r="BQ89" i="3"/>
  <c r="BW89" i="3"/>
  <c r="CK89" i="3"/>
  <c r="BM89" i="3"/>
  <c r="BT89" i="3"/>
  <c r="BI89" i="3"/>
  <c r="CL89" i="3"/>
  <c r="BO89" i="3"/>
  <c r="AQ89" i="3"/>
  <c r="AU89" i="3"/>
  <c r="AY89" i="3"/>
  <c r="BC89" i="3"/>
  <c r="AO89" i="3"/>
  <c r="AS89" i="3"/>
  <c r="AW89" i="3"/>
  <c r="BA89" i="3"/>
  <c r="BE89" i="3"/>
  <c r="AT89" i="3"/>
  <c r="BB89" i="3"/>
  <c r="W89" i="3"/>
  <c r="AA89" i="3"/>
  <c r="AE89" i="3"/>
  <c r="AI89" i="3"/>
  <c r="AM89" i="3"/>
  <c r="AP89" i="3"/>
  <c r="AX89" i="3"/>
  <c r="Y89" i="3"/>
  <c r="AC89" i="3"/>
  <c r="AG89" i="3"/>
  <c r="AK89" i="3"/>
  <c r="AZ89" i="3"/>
  <c r="V89" i="3"/>
  <c r="AD89" i="3"/>
  <c r="AL89" i="3"/>
  <c r="Z89" i="3"/>
  <c r="AB89" i="3"/>
  <c r="AN89" i="3"/>
  <c r="BD89" i="3"/>
  <c r="X89" i="3"/>
  <c r="AF89" i="3"/>
  <c r="AR89" i="3"/>
  <c r="AH89" i="3"/>
  <c r="AV89" i="3"/>
  <c r="AJ89" i="3"/>
  <c r="BX33" i="3"/>
  <c r="CB33" i="3"/>
  <c r="CF33" i="3"/>
  <c r="CJ33" i="3"/>
  <c r="CN33" i="3"/>
  <c r="BZ33" i="3"/>
  <c r="CD33" i="3"/>
  <c r="CH33" i="3"/>
  <c r="CL33" i="3"/>
  <c r="BY33" i="3"/>
  <c r="CG33" i="3"/>
  <c r="CO33" i="3"/>
  <c r="CI33" i="3"/>
  <c r="CC33" i="3"/>
  <c r="CE33" i="3"/>
  <c r="CM33" i="3"/>
  <c r="CA33" i="3"/>
  <c r="CK33" i="3"/>
  <c r="BI33" i="3"/>
  <c r="BM33" i="3"/>
  <c r="BQ33" i="3"/>
  <c r="BU33" i="3"/>
  <c r="BF33" i="3"/>
  <c r="BJ33" i="3"/>
  <c r="BN33" i="3"/>
  <c r="BR33" i="3"/>
  <c r="BV33" i="3"/>
  <c r="BL33" i="3"/>
  <c r="BT33" i="3"/>
  <c r="BH33" i="3"/>
  <c r="BG33" i="3"/>
  <c r="BO33" i="3"/>
  <c r="BW33" i="3"/>
  <c r="BP33" i="3"/>
  <c r="BS33" i="3"/>
  <c r="BK33" i="3"/>
  <c r="AO33" i="3"/>
  <c r="AS33" i="3"/>
  <c r="AW33" i="3"/>
  <c r="BA33" i="3"/>
  <c r="BE33" i="3"/>
  <c r="AQ33" i="3"/>
  <c r="AU33" i="3"/>
  <c r="AY33" i="3"/>
  <c r="BC33" i="3"/>
  <c r="AN33" i="3"/>
  <c r="AV33" i="3"/>
  <c r="BD33" i="3"/>
  <c r="W33" i="3"/>
  <c r="AA33" i="3"/>
  <c r="AE33" i="3"/>
  <c r="AI33" i="3"/>
  <c r="AR33" i="3"/>
  <c r="AZ33" i="3"/>
  <c r="Y33" i="3"/>
  <c r="AC33" i="3"/>
  <c r="AG33" i="3"/>
  <c r="AK33" i="3"/>
  <c r="BB33" i="3"/>
  <c r="V33" i="3"/>
  <c r="AD33" i="3"/>
  <c r="AL33" i="3"/>
  <c r="AT33" i="3"/>
  <c r="Z33" i="3"/>
  <c r="AH33" i="3"/>
  <c r="AX33" i="3"/>
  <c r="AJ33" i="3"/>
  <c r="AM33" i="3"/>
  <c r="AB33" i="3"/>
  <c r="AP33" i="3"/>
  <c r="AF33" i="3"/>
  <c r="BY15" i="3"/>
  <c r="CC15" i="3"/>
  <c r="CG15" i="3"/>
  <c r="CK15" i="3"/>
  <c r="CO15" i="3"/>
  <c r="CA15" i="3"/>
  <c r="CE15" i="3"/>
  <c r="CI15" i="3"/>
  <c r="CM15" i="3"/>
  <c r="BZ15" i="3"/>
  <c r="CH15" i="3"/>
  <c r="CD15" i="3"/>
  <c r="CL15" i="3"/>
  <c r="CB15" i="3"/>
  <c r="CF15" i="3"/>
  <c r="BX15" i="3"/>
  <c r="CJ15" i="3"/>
  <c r="BI15" i="3"/>
  <c r="BM15" i="3"/>
  <c r="BQ15" i="3"/>
  <c r="BU15" i="3"/>
  <c r="BF15" i="3"/>
  <c r="BJ15" i="3"/>
  <c r="BN15" i="3"/>
  <c r="BR15" i="3"/>
  <c r="BV15" i="3"/>
  <c r="BH15" i="3"/>
  <c r="BP15" i="3"/>
  <c r="CN15" i="3"/>
  <c r="BK15" i="3"/>
  <c r="BS15" i="3"/>
  <c r="BL15" i="3"/>
  <c r="BO15" i="3"/>
  <c r="BT15" i="3"/>
  <c r="BG15" i="3"/>
  <c r="BW15" i="3"/>
  <c r="AO15" i="3"/>
  <c r="AS15" i="3"/>
  <c r="AW15" i="3"/>
  <c r="BA15" i="3"/>
  <c r="BE15" i="3"/>
  <c r="AQ15" i="3"/>
  <c r="AU15" i="3"/>
  <c r="AY15" i="3"/>
  <c r="BC15" i="3"/>
  <c r="AT15" i="3"/>
  <c r="BB15" i="3"/>
  <c r="W15" i="3"/>
  <c r="AA15" i="3"/>
  <c r="AE15" i="3"/>
  <c r="AI15" i="3"/>
  <c r="AM15" i="3"/>
  <c r="AP15" i="3"/>
  <c r="AX15" i="3"/>
  <c r="Y15" i="3"/>
  <c r="AC15" i="3"/>
  <c r="AG15" i="3"/>
  <c r="AK15" i="3"/>
  <c r="AV15" i="3"/>
  <c r="AB15" i="3"/>
  <c r="AJ15" i="3"/>
  <c r="AN15" i="3"/>
  <c r="BD15" i="3"/>
  <c r="X15" i="3"/>
  <c r="AF15" i="3"/>
  <c r="AR15" i="3"/>
  <c r="AD15" i="3"/>
  <c r="AL15" i="3"/>
  <c r="AH15" i="3"/>
  <c r="AZ15" i="3"/>
  <c r="V15" i="3"/>
  <c r="BY13" i="3"/>
  <c r="CC13" i="3"/>
  <c r="CG13" i="3"/>
  <c r="CK13" i="3"/>
  <c r="CO13" i="3"/>
  <c r="CA13" i="3"/>
  <c r="CE13" i="3"/>
  <c r="CI13" i="3"/>
  <c r="CM13" i="3"/>
  <c r="CD13" i="3"/>
  <c r="CL13" i="3"/>
  <c r="BZ13" i="3"/>
  <c r="CH13" i="3"/>
  <c r="CF13" i="3"/>
  <c r="CJ13" i="3"/>
  <c r="BX13" i="3"/>
  <c r="CB13" i="3"/>
  <c r="CN13" i="3"/>
  <c r="BI13" i="3"/>
  <c r="BM13" i="3"/>
  <c r="BQ13" i="3"/>
  <c r="BU13" i="3"/>
  <c r="BF13" i="3"/>
  <c r="BJ13" i="3"/>
  <c r="BN13" i="3"/>
  <c r="BR13" i="3"/>
  <c r="BV13" i="3"/>
  <c r="BL13" i="3"/>
  <c r="BT13" i="3"/>
  <c r="BG13" i="3"/>
  <c r="BO13" i="3"/>
  <c r="BW13" i="3"/>
  <c r="BP13" i="3"/>
  <c r="BS13" i="3"/>
  <c r="BH13" i="3"/>
  <c r="BK13" i="3"/>
  <c r="AO13" i="3"/>
  <c r="AS13" i="3"/>
  <c r="AW13" i="3"/>
  <c r="BA13" i="3"/>
  <c r="BE13" i="3"/>
  <c r="AQ13" i="3"/>
  <c r="AU13" i="3"/>
  <c r="AY13" i="3"/>
  <c r="BC13" i="3"/>
  <c r="AP13" i="3"/>
  <c r="AX13" i="3"/>
  <c r="W13" i="3"/>
  <c r="AA13" i="3"/>
  <c r="AE13" i="3"/>
  <c r="AI13" i="3"/>
  <c r="AM13" i="3"/>
  <c r="AT13" i="3"/>
  <c r="BB13" i="3"/>
  <c r="Y13" i="3"/>
  <c r="AC13" i="3"/>
  <c r="AG13" i="3"/>
  <c r="AK13" i="3"/>
  <c r="AZ13" i="3"/>
  <c r="X13" i="3"/>
  <c r="AF13" i="3"/>
  <c r="AR13" i="3"/>
  <c r="AB13" i="3"/>
  <c r="AJ13" i="3"/>
  <c r="AV13" i="3"/>
  <c r="BD13" i="3"/>
  <c r="AH13" i="3"/>
  <c r="AN13" i="3"/>
  <c r="V13" i="3"/>
  <c r="AL13" i="3"/>
  <c r="Z13" i="3"/>
  <c r="CA16" i="3"/>
  <c r="CE16" i="3"/>
  <c r="CI16" i="3"/>
  <c r="CM16" i="3"/>
  <c r="BY16" i="3"/>
  <c r="CC16" i="3"/>
  <c r="CG16" i="3"/>
  <c r="CK16" i="3"/>
  <c r="CO16" i="3"/>
  <c r="BX16" i="3"/>
  <c r="CF16" i="3"/>
  <c r="CN16" i="3"/>
  <c r="CB16" i="3"/>
  <c r="CJ16" i="3"/>
  <c r="BZ16" i="3"/>
  <c r="CD16" i="3"/>
  <c r="CH16" i="3"/>
  <c r="CL16" i="3"/>
  <c r="BG16" i="3"/>
  <c r="BK16" i="3"/>
  <c r="BO16" i="3"/>
  <c r="BS16" i="3"/>
  <c r="BW16" i="3"/>
  <c r="BH16" i="3"/>
  <c r="BL16" i="3"/>
  <c r="BP16" i="3"/>
  <c r="BT16" i="3"/>
  <c r="BF16" i="3"/>
  <c r="BN16" i="3"/>
  <c r="BV16" i="3"/>
  <c r="BI16" i="3"/>
  <c r="BQ16" i="3"/>
  <c r="BJ16" i="3"/>
  <c r="BM16" i="3"/>
  <c r="BR16" i="3"/>
  <c r="BU16" i="3"/>
  <c r="AQ16" i="3"/>
  <c r="AU16" i="3"/>
  <c r="AY16" i="3"/>
  <c r="BC16" i="3"/>
  <c r="AO16" i="3"/>
  <c r="AS16" i="3"/>
  <c r="AW16" i="3"/>
  <c r="BA16" i="3"/>
  <c r="BE16" i="3"/>
  <c r="AR16" i="3"/>
  <c r="AZ16" i="3"/>
  <c r="Y16" i="3"/>
  <c r="AC16" i="3"/>
  <c r="AG16" i="3"/>
  <c r="AK16" i="3"/>
  <c r="AN16" i="3"/>
  <c r="AV16" i="3"/>
  <c r="BD16" i="3"/>
  <c r="AA16" i="3"/>
  <c r="AE16" i="3"/>
  <c r="AI16" i="3"/>
  <c r="AM16" i="3"/>
  <c r="AT16" i="3"/>
  <c r="Z16" i="3"/>
  <c r="AH16" i="3"/>
  <c r="BB16" i="3"/>
  <c r="V16" i="3"/>
  <c r="AD16" i="3"/>
  <c r="AL16" i="3"/>
  <c r="AP16" i="3"/>
  <c r="AB16" i="3"/>
  <c r="X16" i="3"/>
  <c r="AF16" i="3"/>
  <c r="AJ16" i="3"/>
  <c r="AX16" i="3"/>
  <c r="CA20" i="3"/>
  <c r="CE20" i="3"/>
  <c r="CI20" i="3"/>
  <c r="CM20" i="3"/>
  <c r="BY20" i="3"/>
  <c r="CC20" i="3"/>
  <c r="CG20" i="3"/>
  <c r="CK20" i="3"/>
  <c r="CO20" i="3"/>
  <c r="CD20" i="3"/>
  <c r="CL20" i="3"/>
  <c r="BZ20" i="3"/>
  <c r="CH20" i="3"/>
  <c r="CB20" i="3"/>
  <c r="CF20" i="3"/>
  <c r="BX20" i="3"/>
  <c r="CN20" i="3"/>
  <c r="BH20" i="3"/>
  <c r="BL20" i="3"/>
  <c r="BP20" i="3"/>
  <c r="BT20" i="3"/>
  <c r="BI20" i="3"/>
  <c r="BN20" i="3"/>
  <c r="BS20" i="3"/>
  <c r="CJ20" i="3"/>
  <c r="BJ20" i="3"/>
  <c r="BO20" i="3"/>
  <c r="BU20" i="3"/>
  <c r="BG20" i="3"/>
  <c r="BR20" i="3"/>
  <c r="BK20" i="3"/>
  <c r="BV20" i="3"/>
  <c r="BM20" i="3"/>
  <c r="BW20" i="3"/>
  <c r="BF20" i="3"/>
  <c r="BQ20" i="3"/>
  <c r="AQ20" i="3"/>
  <c r="AU20" i="3"/>
  <c r="AY20" i="3"/>
  <c r="BC20" i="3"/>
  <c r="AO20" i="3"/>
  <c r="AS20" i="3"/>
  <c r="AW20" i="3"/>
  <c r="BA20" i="3"/>
  <c r="BE20" i="3"/>
  <c r="AP20" i="3"/>
  <c r="AX20" i="3"/>
  <c r="Y20" i="3"/>
  <c r="AC20" i="3"/>
  <c r="AG20" i="3"/>
  <c r="AK20" i="3"/>
  <c r="AT20" i="3"/>
  <c r="BB20" i="3"/>
  <c r="W20" i="3"/>
  <c r="AA20" i="3"/>
  <c r="AE20" i="3"/>
  <c r="AI20" i="3"/>
  <c r="AM20" i="3"/>
  <c r="AV20" i="3"/>
  <c r="X20" i="3"/>
  <c r="AF20" i="3"/>
  <c r="AN20" i="3"/>
  <c r="BD20" i="3"/>
  <c r="AB20" i="3"/>
  <c r="AJ20" i="3"/>
  <c r="AR20" i="3"/>
  <c r="AD20" i="3"/>
  <c r="V20" i="3"/>
  <c r="AZ20" i="3"/>
  <c r="AH20" i="3"/>
  <c r="AL20" i="3"/>
  <c r="Z20" i="3"/>
  <c r="BY25" i="3"/>
  <c r="CC25" i="3"/>
  <c r="CA25" i="3"/>
  <c r="CE25" i="3"/>
  <c r="CI25" i="3"/>
  <c r="CM25" i="3"/>
  <c r="CB25" i="3"/>
  <c r="CH25" i="3"/>
  <c r="CN25" i="3"/>
  <c r="BX25" i="3"/>
  <c r="CF25" i="3"/>
  <c r="CK25" i="3"/>
  <c r="CG25" i="3"/>
  <c r="CJ25" i="3"/>
  <c r="CD25" i="3"/>
  <c r="CO25" i="3"/>
  <c r="CL25" i="3"/>
  <c r="BF25" i="3"/>
  <c r="BJ25" i="3"/>
  <c r="BN25" i="3"/>
  <c r="BR25" i="3"/>
  <c r="BV25" i="3"/>
  <c r="BI25" i="3"/>
  <c r="BO25" i="3"/>
  <c r="BT25" i="3"/>
  <c r="BK25" i="3"/>
  <c r="BP25" i="3"/>
  <c r="BU25" i="3"/>
  <c r="BM25" i="3"/>
  <c r="BG25" i="3"/>
  <c r="BQ25" i="3"/>
  <c r="BZ25" i="3"/>
  <c r="BH25" i="3"/>
  <c r="BS25" i="3"/>
  <c r="BW25" i="3"/>
  <c r="BL25" i="3"/>
  <c r="AO25" i="3"/>
  <c r="AS25" i="3"/>
  <c r="AW25" i="3"/>
  <c r="BA25" i="3"/>
  <c r="BE25" i="3"/>
  <c r="AQ25" i="3"/>
  <c r="AU25" i="3"/>
  <c r="AY25" i="3"/>
  <c r="BC25" i="3"/>
  <c r="AN25" i="3"/>
  <c r="AV25" i="3"/>
  <c r="BD25" i="3"/>
  <c r="W25" i="3"/>
  <c r="AA25" i="3"/>
  <c r="AE25" i="3"/>
  <c r="AI25" i="3"/>
  <c r="AM25" i="3"/>
  <c r="AR25" i="3"/>
  <c r="AZ25" i="3"/>
  <c r="Y25" i="3"/>
  <c r="AC25" i="3"/>
  <c r="AG25" i="3"/>
  <c r="AK25" i="3"/>
  <c r="BB25" i="3"/>
  <c r="V25" i="3"/>
  <c r="AD25" i="3"/>
  <c r="AL25" i="3"/>
  <c r="AT25" i="3"/>
  <c r="Z25" i="3"/>
  <c r="AH25" i="3"/>
  <c r="AX25" i="3"/>
  <c r="AJ25" i="3"/>
  <c r="AB25" i="3"/>
  <c r="X25" i="3"/>
  <c r="AP25" i="3"/>
  <c r="AF25" i="3"/>
  <c r="BX27" i="3"/>
  <c r="CB27" i="3"/>
  <c r="CF27" i="3"/>
  <c r="CJ27" i="3"/>
  <c r="CN27" i="3"/>
  <c r="BZ27" i="3"/>
  <c r="CD27" i="3"/>
  <c r="CH27" i="3"/>
  <c r="CL27" i="3"/>
  <c r="CC27" i="3"/>
  <c r="CK27" i="3"/>
  <c r="BY27" i="3"/>
  <c r="CI27" i="3"/>
  <c r="CM27" i="3"/>
  <c r="CA27" i="3"/>
  <c r="CG27" i="3"/>
  <c r="CE27" i="3"/>
  <c r="BF27" i="3"/>
  <c r="BJ27" i="3"/>
  <c r="BN27" i="3"/>
  <c r="BR27" i="3"/>
  <c r="BV27" i="3"/>
  <c r="CO27" i="3"/>
  <c r="BK27" i="3"/>
  <c r="BP27" i="3"/>
  <c r="BU27" i="3"/>
  <c r="BG27" i="3"/>
  <c r="BL27" i="3"/>
  <c r="BQ27" i="3"/>
  <c r="BW27" i="3"/>
  <c r="BI27" i="3"/>
  <c r="BT27" i="3"/>
  <c r="BM27" i="3"/>
  <c r="BO27" i="3"/>
  <c r="BH27" i="3"/>
  <c r="BS27" i="3"/>
  <c r="AO27" i="3"/>
  <c r="AS27" i="3"/>
  <c r="AW27" i="3"/>
  <c r="BA27" i="3"/>
  <c r="BE27" i="3"/>
  <c r="AQ27" i="3"/>
  <c r="AU27" i="3"/>
  <c r="AY27" i="3"/>
  <c r="BC27" i="3"/>
  <c r="AR27" i="3"/>
  <c r="AZ27" i="3"/>
  <c r="W27" i="3"/>
  <c r="AA27" i="3"/>
  <c r="AE27" i="3"/>
  <c r="AI27" i="3"/>
  <c r="AM27" i="3"/>
  <c r="AN27" i="3"/>
  <c r="AV27" i="3"/>
  <c r="BD27" i="3"/>
  <c r="Y27" i="3"/>
  <c r="AC27" i="3"/>
  <c r="AG27" i="3"/>
  <c r="AK27" i="3"/>
  <c r="AX27" i="3"/>
  <c r="Z27" i="3"/>
  <c r="AH27" i="3"/>
  <c r="AP27" i="3"/>
  <c r="V27" i="3"/>
  <c r="AD27" i="3"/>
  <c r="AL27" i="3"/>
  <c r="AT27" i="3"/>
  <c r="AF27" i="3"/>
  <c r="X27" i="3"/>
  <c r="BB27" i="3"/>
  <c r="AJ27" i="3"/>
  <c r="AB27" i="3"/>
  <c r="BX29" i="3"/>
  <c r="CB29" i="3"/>
  <c r="CF29" i="3"/>
  <c r="CJ29" i="3"/>
  <c r="CN29" i="3"/>
  <c r="BZ29" i="3"/>
  <c r="CD29" i="3"/>
  <c r="CH29" i="3"/>
  <c r="CL29" i="3"/>
  <c r="BY29" i="3"/>
  <c r="CG29" i="3"/>
  <c r="CO29" i="3"/>
  <c r="CE29" i="3"/>
  <c r="CC29" i="3"/>
  <c r="CA29" i="3"/>
  <c r="CK29" i="3"/>
  <c r="CI29" i="3"/>
  <c r="BI29" i="3"/>
  <c r="BM29" i="3"/>
  <c r="BQ29" i="3"/>
  <c r="BU29" i="3"/>
  <c r="BF29" i="3"/>
  <c r="BJ29" i="3"/>
  <c r="BN29" i="3"/>
  <c r="BR29" i="3"/>
  <c r="BV29" i="3"/>
  <c r="CM29" i="3"/>
  <c r="BL29" i="3"/>
  <c r="BT29" i="3"/>
  <c r="BP29" i="3"/>
  <c r="BG29" i="3"/>
  <c r="BO29" i="3"/>
  <c r="BW29" i="3"/>
  <c r="BH29" i="3"/>
  <c r="BK29" i="3"/>
  <c r="BS29" i="3"/>
  <c r="AO29" i="3"/>
  <c r="AS29" i="3"/>
  <c r="AW29" i="3"/>
  <c r="BA29" i="3"/>
  <c r="BE29" i="3"/>
  <c r="AQ29" i="3"/>
  <c r="AU29" i="3"/>
  <c r="AY29" i="3"/>
  <c r="BC29" i="3"/>
  <c r="AN29" i="3"/>
  <c r="AV29" i="3"/>
  <c r="BD29" i="3"/>
  <c r="W29" i="3"/>
  <c r="AA29" i="3"/>
  <c r="AE29" i="3"/>
  <c r="AI29" i="3"/>
  <c r="AM29" i="3"/>
  <c r="AR29" i="3"/>
  <c r="AZ29" i="3"/>
  <c r="Y29" i="3"/>
  <c r="AC29" i="3"/>
  <c r="AG29" i="3"/>
  <c r="AK29" i="3"/>
  <c r="AT29" i="3"/>
  <c r="V29" i="3"/>
  <c r="AD29" i="3"/>
  <c r="AL29" i="3"/>
  <c r="BB29" i="3"/>
  <c r="Z29" i="3"/>
  <c r="AH29" i="3"/>
  <c r="AP29" i="3"/>
  <c r="AB29" i="3"/>
  <c r="AX29" i="3"/>
  <c r="AF29" i="3"/>
  <c r="AJ29" i="3"/>
  <c r="X29" i="3"/>
  <c r="BX31" i="3"/>
  <c r="CB31" i="3"/>
  <c r="CF31" i="3"/>
  <c r="CJ31" i="3"/>
  <c r="CN31" i="3"/>
  <c r="BZ31" i="3"/>
  <c r="CD31" i="3"/>
  <c r="CH31" i="3"/>
  <c r="CL31" i="3"/>
  <c r="CC31" i="3"/>
  <c r="CK31" i="3"/>
  <c r="CA31" i="3"/>
  <c r="CM31" i="3"/>
  <c r="CI31" i="3"/>
  <c r="CE31" i="3"/>
  <c r="CO31" i="3"/>
  <c r="BY31" i="3"/>
  <c r="CG31" i="3"/>
  <c r="BM31" i="3"/>
  <c r="BQ31" i="3"/>
  <c r="BU31" i="3"/>
  <c r="BF31" i="3"/>
  <c r="BJ31" i="3"/>
  <c r="BN31" i="3"/>
  <c r="BR31" i="3"/>
  <c r="BV31" i="3"/>
  <c r="BH31" i="3"/>
  <c r="BP31" i="3"/>
  <c r="BL31" i="3"/>
  <c r="BK31" i="3"/>
  <c r="BS31" i="3"/>
  <c r="BT31" i="3"/>
  <c r="BW31" i="3"/>
  <c r="BG31" i="3"/>
  <c r="BO31" i="3"/>
  <c r="AO31" i="3"/>
  <c r="AS31" i="3"/>
  <c r="AW31" i="3"/>
  <c r="BA31" i="3"/>
  <c r="BE31" i="3"/>
  <c r="AQ31" i="3"/>
  <c r="AU31" i="3"/>
  <c r="AY31" i="3"/>
  <c r="BC31" i="3"/>
  <c r="AR31" i="3"/>
  <c r="AZ31" i="3"/>
  <c r="W31" i="3"/>
  <c r="AA31" i="3"/>
  <c r="AE31" i="3"/>
  <c r="AI31" i="3"/>
  <c r="AM31" i="3"/>
  <c r="AN31" i="3"/>
  <c r="AV31" i="3"/>
  <c r="BD31" i="3"/>
  <c r="Y31" i="3"/>
  <c r="AC31" i="3"/>
  <c r="AG31" i="3"/>
  <c r="AK31" i="3"/>
  <c r="AP31" i="3"/>
  <c r="Z31" i="3"/>
  <c r="AH31" i="3"/>
  <c r="AX31" i="3"/>
  <c r="V31" i="3"/>
  <c r="AD31" i="3"/>
  <c r="AL31" i="3"/>
  <c r="BB31" i="3"/>
  <c r="X31" i="3"/>
  <c r="AT31" i="3"/>
  <c r="AB31" i="3"/>
  <c r="AF31" i="3"/>
  <c r="AJ31" i="3"/>
  <c r="BZ34" i="3"/>
  <c r="CD34" i="3"/>
  <c r="CH34" i="3"/>
  <c r="CL34" i="3"/>
  <c r="BX34" i="3"/>
  <c r="CB34" i="3"/>
  <c r="CF34" i="3"/>
  <c r="CJ34" i="3"/>
  <c r="CN34" i="3"/>
  <c r="CE34" i="3"/>
  <c r="CM34" i="3"/>
  <c r="CA34" i="3"/>
  <c r="CK34" i="3"/>
  <c r="BY34" i="3"/>
  <c r="CO34" i="3"/>
  <c r="CG34" i="3"/>
  <c r="BG34" i="3"/>
  <c r="BK34" i="3"/>
  <c r="BO34" i="3"/>
  <c r="BS34" i="3"/>
  <c r="BW34" i="3"/>
  <c r="BH34" i="3"/>
  <c r="BL34" i="3"/>
  <c r="BP34" i="3"/>
  <c r="BT34" i="3"/>
  <c r="BJ34" i="3"/>
  <c r="BR34" i="3"/>
  <c r="BF34" i="3"/>
  <c r="BV34" i="3"/>
  <c r="BM34" i="3"/>
  <c r="BU34" i="3"/>
  <c r="CC34" i="3"/>
  <c r="BN34" i="3"/>
  <c r="BQ34" i="3"/>
  <c r="CI34" i="3"/>
  <c r="AQ34" i="3"/>
  <c r="AU34" i="3"/>
  <c r="AY34" i="3"/>
  <c r="BC34" i="3"/>
  <c r="AO34" i="3"/>
  <c r="AS34" i="3"/>
  <c r="AW34" i="3"/>
  <c r="BA34" i="3"/>
  <c r="BE34" i="3"/>
  <c r="AT34" i="3"/>
  <c r="BB34" i="3"/>
  <c r="AP34" i="3"/>
  <c r="AX34" i="3"/>
  <c r="W34" i="3"/>
  <c r="AA34" i="3"/>
  <c r="AE34" i="3"/>
  <c r="AI34" i="3"/>
  <c r="AM34" i="3"/>
  <c r="AZ34" i="3"/>
  <c r="Y34" i="3"/>
  <c r="AD34" i="3"/>
  <c r="AJ34" i="3"/>
  <c r="AR34" i="3"/>
  <c r="V34" i="3"/>
  <c r="AB34" i="3"/>
  <c r="AG34" i="3"/>
  <c r="AL34" i="3"/>
  <c r="AV34" i="3"/>
  <c r="AN34" i="3"/>
  <c r="AC34" i="3"/>
  <c r="X34" i="3"/>
  <c r="Z34" i="3"/>
  <c r="BD34" i="3"/>
  <c r="AF34" i="3"/>
  <c r="AH34" i="3"/>
  <c r="AK34" i="3"/>
  <c r="BX36" i="3"/>
  <c r="BY36" i="3"/>
  <c r="CC36" i="3"/>
  <c r="CG36" i="3"/>
  <c r="CK36" i="3"/>
  <c r="CO36" i="3"/>
  <c r="CB36" i="3"/>
  <c r="CH36" i="3"/>
  <c r="CM36" i="3"/>
  <c r="CA36" i="3"/>
  <c r="CI36" i="3"/>
  <c r="CD36" i="3"/>
  <c r="CL36" i="3"/>
  <c r="CF36" i="3"/>
  <c r="CJ36" i="3"/>
  <c r="CN36" i="3"/>
  <c r="BZ36" i="3"/>
  <c r="BG36" i="3"/>
  <c r="BK36" i="3"/>
  <c r="BO36" i="3"/>
  <c r="BS36" i="3"/>
  <c r="BW36" i="3"/>
  <c r="CE36" i="3"/>
  <c r="BH36" i="3"/>
  <c r="BL36" i="3"/>
  <c r="BP36" i="3"/>
  <c r="BT36" i="3"/>
  <c r="BF36" i="3"/>
  <c r="BN36" i="3"/>
  <c r="BV36" i="3"/>
  <c r="BR36" i="3"/>
  <c r="BI36" i="3"/>
  <c r="BQ36" i="3"/>
  <c r="BJ36" i="3"/>
  <c r="BM36" i="3"/>
  <c r="BU36" i="3"/>
  <c r="AQ36" i="3"/>
  <c r="AU36" i="3"/>
  <c r="AY36" i="3"/>
  <c r="BC36" i="3"/>
  <c r="AO36" i="3"/>
  <c r="AS36" i="3"/>
  <c r="AW36" i="3"/>
  <c r="BA36" i="3"/>
  <c r="BE36" i="3"/>
  <c r="AP36" i="3"/>
  <c r="AX36" i="3"/>
  <c r="AT36" i="3"/>
  <c r="BB36" i="3"/>
  <c r="W36" i="3"/>
  <c r="AA36" i="3"/>
  <c r="AE36" i="3"/>
  <c r="AI36" i="3"/>
  <c r="AM36" i="3"/>
  <c r="AV36" i="3"/>
  <c r="Z36" i="3"/>
  <c r="AF36" i="3"/>
  <c r="AK36" i="3"/>
  <c r="AN36" i="3"/>
  <c r="BD36" i="3"/>
  <c r="X36" i="3"/>
  <c r="AC36" i="3"/>
  <c r="AH36" i="3"/>
  <c r="AR36" i="3"/>
  <c r="Y36" i="3"/>
  <c r="AJ36" i="3"/>
  <c r="AD36" i="3"/>
  <c r="AZ36" i="3"/>
  <c r="AG36" i="3"/>
  <c r="AB36" i="3"/>
  <c r="AL36" i="3"/>
  <c r="V36" i="3"/>
  <c r="BY38" i="3"/>
  <c r="CC38" i="3"/>
  <c r="CG38" i="3"/>
  <c r="CK38" i="3"/>
  <c r="CO38" i="3"/>
  <c r="BX38" i="3"/>
  <c r="CD38" i="3"/>
  <c r="CI38" i="3"/>
  <c r="CN38" i="3"/>
  <c r="CA38" i="3"/>
  <c r="CH38" i="3"/>
  <c r="CE38" i="3"/>
  <c r="CM38" i="3"/>
  <c r="BZ38" i="3"/>
  <c r="CJ38" i="3"/>
  <c r="CL38" i="3"/>
  <c r="CB38" i="3"/>
  <c r="BG38" i="3"/>
  <c r="BK38" i="3"/>
  <c r="BO38" i="3"/>
  <c r="BS38" i="3"/>
  <c r="BW38" i="3"/>
  <c r="CF38" i="3"/>
  <c r="BH38" i="3"/>
  <c r="BL38" i="3"/>
  <c r="BP38" i="3"/>
  <c r="BT38" i="3"/>
  <c r="BJ38" i="3"/>
  <c r="BR38" i="3"/>
  <c r="BN38" i="3"/>
  <c r="BM38" i="3"/>
  <c r="BU38" i="3"/>
  <c r="BF38" i="3"/>
  <c r="BV38" i="3"/>
  <c r="BI38" i="3"/>
  <c r="BQ38" i="3"/>
  <c r="AQ38" i="3"/>
  <c r="AU38" i="3"/>
  <c r="AY38" i="3"/>
  <c r="BC38" i="3"/>
  <c r="AO38" i="3"/>
  <c r="AS38" i="3"/>
  <c r="AW38" i="3"/>
  <c r="BA38" i="3"/>
  <c r="BE38" i="3"/>
  <c r="AT38" i="3"/>
  <c r="BB38" i="3"/>
  <c r="AP38" i="3"/>
  <c r="AX38" i="3"/>
  <c r="W38" i="3"/>
  <c r="AA38" i="3"/>
  <c r="AE38" i="3"/>
  <c r="AI38" i="3"/>
  <c r="AM38" i="3"/>
  <c r="AR38" i="3"/>
  <c r="V38" i="3"/>
  <c r="AB38" i="3"/>
  <c r="AG38" i="3"/>
  <c r="AL38" i="3"/>
  <c r="AZ38" i="3"/>
  <c r="Y38" i="3"/>
  <c r="AD38" i="3"/>
  <c r="AJ38" i="3"/>
  <c r="AN38" i="3"/>
  <c r="BD38" i="3"/>
  <c r="AF38" i="3"/>
  <c r="AK38" i="3"/>
  <c r="AV38" i="3"/>
  <c r="X38" i="3"/>
  <c r="AH38" i="3"/>
  <c r="Z38" i="3"/>
  <c r="AC38" i="3"/>
  <c r="BY42" i="3"/>
  <c r="CC42" i="3"/>
  <c r="CG42" i="3"/>
  <c r="CK42" i="3"/>
  <c r="CO42" i="3"/>
  <c r="CA42" i="3"/>
  <c r="CF42" i="3"/>
  <c r="CL42" i="3"/>
  <c r="BZ42" i="3"/>
  <c r="CH42" i="3"/>
  <c r="CN42" i="3"/>
  <c r="BX42" i="3"/>
  <c r="CI42" i="3"/>
  <c r="CD42" i="3"/>
  <c r="CM42" i="3"/>
  <c r="CB42" i="3"/>
  <c r="CE42" i="3"/>
  <c r="BG42" i="3"/>
  <c r="BK42" i="3"/>
  <c r="BO42" i="3"/>
  <c r="BS42" i="3"/>
  <c r="BW42" i="3"/>
  <c r="CJ42" i="3"/>
  <c r="BH42" i="3"/>
  <c r="BL42" i="3"/>
  <c r="BP42" i="3"/>
  <c r="BT42" i="3"/>
  <c r="BJ42" i="3"/>
  <c r="BR42" i="3"/>
  <c r="BF42" i="3"/>
  <c r="BV42" i="3"/>
  <c r="BM42" i="3"/>
  <c r="BU42" i="3"/>
  <c r="BN42" i="3"/>
  <c r="BQ42" i="3"/>
  <c r="BI42" i="3"/>
  <c r="AQ42" i="3"/>
  <c r="AU42" i="3"/>
  <c r="AY42" i="3"/>
  <c r="BC42" i="3"/>
  <c r="AO42" i="3"/>
  <c r="AS42" i="3"/>
  <c r="AW42" i="3"/>
  <c r="BA42" i="3"/>
  <c r="BE42" i="3"/>
  <c r="AT42" i="3"/>
  <c r="BB42" i="3"/>
  <c r="AP42" i="3"/>
  <c r="AX42" i="3"/>
  <c r="W42" i="3"/>
  <c r="AA42" i="3"/>
  <c r="AE42" i="3"/>
  <c r="AI42" i="3"/>
  <c r="AM42" i="3"/>
  <c r="AZ42" i="3"/>
  <c r="Y42" i="3"/>
  <c r="AD42" i="3"/>
  <c r="AJ42" i="3"/>
  <c r="AR42" i="3"/>
  <c r="V42" i="3"/>
  <c r="AB42" i="3"/>
  <c r="AG42" i="3"/>
  <c r="AL42" i="3"/>
  <c r="AV42" i="3"/>
  <c r="X42" i="3"/>
  <c r="AH42" i="3"/>
  <c r="AC42" i="3"/>
  <c r="AN42" i="3"/>
  <c r="Z42" i="3"/>
  <c r="AK42" i="3"/>
  <c r="BD42" i="3"/>
  <c r="AF42" i="3"/>
  <c r="BY44" i="3"/>
  <c r="CC44" i="3"/>
  <c r="CG44" i="3"/>
  <c r="CK44" i="3"/>
  <c r="CO44" i="3"/>
  <c r="CB44" i="3"/>
  <c r="CH44" i="3"/>
  <c r="CM44" i="3"/>
  <c r="BZ44" i="3"/>
  <c r="CF44" i="3"/>
  <c r="CN44" i="3"/>
  <c r="CA44" i="3"/>
  <c r="CJ44" i="3"/>
  <c r="CE44" i="3"/>
  <c r="BX44" i="3"/>
  <c r="CD44" i="3"/>
  <c r="CI44" i="3"/>
  <c r="BG44" i="3"/>
  <c r="BK44" i="3"/>
  <c r="BO44" i="3"/>
  <c r="BS44" i="3"/>
  <c r="BW44" i="3"/>
  <c r="CL44" i="3"/>
  <c r="BL44" i="3"/>
  <c r="BP44" i="3"/>
  <c r="BT44" i="3"/>
  <c r="BF44" i="3"/>
  <c r="BN44" i="3"/>
  <c r="BV44" i="3"/>
  <c r="BR44" i="3"/>
  <c r="BI44" i="3"/>
  <c r="BQ44" i="3"/>
  <c r="BJ44" i="3"/>
  <c r="BM44" i="3"/>
  <c r="BU44" i="3"/>
  <c r="AQ44" i="3"/>
  <c r="AU44" i="3"/>
  <c r="AY44" i="3"/>
  <c r="BC44" i="3"/>
  <c r="AO44" i="3"/>
  <c r="AS44" i="3"/>
  <c r="AW44" i="3"/>
  <c r="BA44" i="3"/>
  <c r="BE44" i="3"/>
  <c r="AP44" i="3"/>
  <c r="AX44" i="3"/>
  <c r="AT44" i="3"/>
  <c r="BB44" i="3"/>
  <c r="W44" i="3"/>
  <c r="AA44" i="3"/>
  <c r="AE44" i="3"/>
  <c r="AI44" i="3"/>
  <c r="AM44" i="3"/>
  <c r="AV44" i="3"/>
  <c r="Z44" i="3"/>
  <c r="AF44" i="3"/>
  <c r="AK44" i="3"/>
  <c r="AN44" i="3"/>
  <c r="BD44" i="3"/>
  <c r="X44" i="3"/>
  <c r="AC44" i="3"/>
  <c r="AH44" i="3"/>
  <c r="AR44" i="3"/>
  <c r="AD44" i="3"/>
  <c r="AJ44" i="3"/>
  <c r="AB44" i="3"/>
  <c r="AZ44" i="3"/>
  <c r="V44" i="3"/>
  <c r="AG44" i="3"/>
  <c r="Y44" i="3"/>
  <c r="AL44" i="3"/>
  <c r="BZ46" i="3"/>
  <c r="CD46" i="3"/>
  <c r="CH46" i="3"/>
  <c r="CL46" i="3"/>
  <c r="CB46" i="3"/>
  <c r="CG46" i="3"/>
  <c r="CM46" i="3"/>
  <c r="BY46" i="3"/>
  <c r="CF46" i="3"/>
  <c r="CN46" i="3"/>
  <c r="CC46" i="3"/>
  <c r="CJ46" i="3"/>
  <c r="BX46" i="3"/>
  <c r="CK46" i="3"/>
  <c r="CA46" i="3"/>
  <c r="CO46" i="3"/>
  <c r="CE46" i="3"/>
  <c r="BG46" i="3"/>
  <c r="BK46" i="3"/>
  <c r="BO46" i="3"/>
  <c r="BS46" i="3"/>
  <c r="BW46" i="3"/>
  <c r="CI46" i="3"/>
  <c r="BH46" i="3"/>
  <c r="BL46" i="3"/>
  <c r="BP46" i="3"/>
  <c r="BT46" i="3"/>
  <c r="BJ46" i="3"/>
  <c r="BR46" i="3"/>
  <c r="BN46" i="3"/>
  <c r="BM46" i="3"/>
  <c r="BU46" i="3"/>
  <c r="BF46" i="3"/>
  <c r="BV46" i="3"/>
  <c r="BQ46" i="3"/>
  <c r="AQ46" i="3"/>
  <c r="AU46" i="3"/>
  <c r="AY46" i="3"/>
  <c r="BC46" i="3"/>
  <c r="AO46" i="3"/>
  <c r="AS46" i="3"/>
  <c r="AW46" i="3"/>
  <c r="BA46" i="3"/>
  <c r="BE46" i="3"/>
  <c r="AT46" i="3"/>
  <c r="BB46" i="3"/>
  <c r="AP46" i="3"/>
  <c r="AX46" i="3"/>
  <c r="W46" i="3"/>
  <c r="AA46" i="3"/>
  <c r="AE46" i="3"/>
  <c r="AI46" i="3"/>
  <c r="AM46" i="3"/>
  <c r="AR46" i="3"/>
  <c r="V46" i="3"/>
  <c r="AB46" i="3"/>
  <c r="AG46" i="3"/>
  <c r="AL46" i="3"/>
  <c r="AZ46" i="3"/>
  <c r="Y46" i="3"/>
  <c r="AD46" i="3"/>
  <c r="AJ46" i="3"/>
  <c r="AN46" i="3"/>
  <c r="Z46" i="3"/>
  <c r="AK46" i="3"/>
  <c r="AH46" i="3"/>
  <c r="AV46" i="3"/>
  <c r="AC46" i="3"/>
  <c r="BD46" i="3"/>
  <c r="AF46" i="3"/>
  <c r="X46" i="3"/>
  <c r="BZ48" i="3"/>
  <c r="CD48" i="3"/>
  <c r="CH48" i="3"/>
  <c r="CL48" i="3"/>
  <c r="BX48" i="3"/>
  <c r="CC48" i="3"/>
  <c r="CI48" i="3"/>
  <c r="CN48" i="3"/>
  <c r="BY48" i="3"/>
  <c r="CF48" i="3"/>
  <c r="CM48" i="3"/>
  <c r="CB48" i="3"/>
  <c r="CJ48" i="3"/>
  <c r="CE48" i="3"/>
  <c r="CG48" i="3"/>
  <c r="BG48" i="3"/>
  <c r="BK48" i="3"/>
  <c r="BO48" i="3"/>
  <c r="BS48" i="3"/>
  <c r="BW48" i="3"/>
  <c r="CA48" i="3"/>
  <c r="BL48" i="3"/>
  <c r="BP48" i="3"/>
  <c r="BT48" i="3"/>
  <c r="CK48" i="3"/>
  <c r="BF48" i="3"/>
  <c r="BN48" i="3"/>
  <c r="BV48" i="3"/>
  <c r="BJ48" i="3"/>
  <c r="CO48" i="3"/>
  <c r="BI48" i="3"/>
  <c r="BQ48" i="3"/>
  <c r="BR48" i="3"/>
  <c r="BU48" i="3"/>
  <c r="BM48" i="3"/>
  <c r="AQ48" i="3"/>
  <c r="AU48" i="3"/>
  <c r="AY48" i="3"/>
  <c r="BC48" i="3"/>
  <c r="AO48" i="3"/>
  <c r="AS48" i="3"/>
  <c r="AW48" i="3"/>
  <c r="BA48" i="3"/>
  <c r="BE48" i="3"/>
  <c r="AP48" i="3"/>
  <c r="AX48" i="3"/>
  <c r="AT48" i="3"/>
  <c r="BB48" i="3"/>
  <c r="W48" i="3"/>
  <c r="AA48" i="3"/>
  <c r="AE48" i="3"/>
  <c r="AI48" i="3"/>
  <c r="AM48" i="3"/>
  <c r="AN48" i="3"/>
  <c r="BD48" i="3"/>
  <c r="X48" i="3"/>
  <c r="AC48" i="3"/>
  <c r="AH48" i="3"/>
  <c r="AV48" i="3"/>
  <c r="Z48" i="3"/>
  <c r="AF48" i="3"/>
  <c r="AK48" i="3"/>
  <c r="V48" i="3"/>
  <c r="AG48" i="3"/>
  <c r="AB48" i="3"/>
  <c r="AD48" i="3"/>
  <c r="AR48" i="3"/>
  <c r="Y48" i="3"/>
  <c r="AJ48" i="3"/>
  <c r="AZ48" i="3"/>
  <c r="AL48" i="3"/>
  <c r="BZ50" i="3"/>
  <c r="CD50" i="3"/>
  <c r="CH50" i="3"/>
  <c r="CL50" i="3"/>
  <c r="BY50" i="3"/>
  <c r="CE50" i="3"/>
  <c r="CJ50" i="3"/>
  <c r="CO50" i="3"/>
  <c r="BX50" i="3"/>
  <c r="CF50" i="3"/>
  <c r="CM50" i="3"/>
  <c r="CB50" i="3"/>
  <c r="CI50" i="3"/>
  <c r="CK50" i="3"/>
  <c r="CA50" i="3"/>
  <c r="CN50" i="3"/>
  <c r="BG50" i="3"/>
  <c r="BK50" i="3"/>
  <c r="BO50" i="3"/>
  <c r="BS50" i="3"/>
  <c r="BW50" i="3"/>
  <c r="BH50" i="3"/>
  <c r="BL50" i="3"/>
  <c r="BP50" i="3"/>
  <c r="BT50" i="3"/>
  <c r="BR50" i="3"/>
  <c r="BF50" i="3"/>
  <c r="BV50" i="3"/>
  <c r="BM50" i="3"/>
  <c r="BU50" i="3"/>
  <c r="CC50" i="3"/>
  <c r="BN50" i="3"/>
  <c r="BQ50" i="3"/>
  <c r="CG50" i="3"/>
  <c r="BI50" i="3"/>
  <c r="AQ50" i="3"/>
  <c r="AU50" i="3"/>
  <c r="AY50" i="3"/>
  <c r="BC50" i="3"/>
  <c r="AO50" i="3"/>
  <c r="AS50" i="3"/>
  <c r="AW50" i="3"/>
  <c r="BA50" i="3"/>
  <c r="BE50" i="3"/>
  <c r="AT50" i="3"/>
  <c r="BB50" i="3"/>
  <c r="AP50" i="3"/>
  <c r="AX50" i="3"/>
  <c r="W50" i="3"/>
  <c r="AA50" i="3"/>
  <c r="AE50" i="3"/>
  <c r="AI50" i="3"/>
  <c r="AM50" i="3"/>
  <c r="AZ50" i="3"/>
  <c r="Y50" i="3"/>
  <c r="AD50" i="3"/>
  <c r="AJ50" i="3"/>
  <c r="AR50" i="3"/>
  <c r="V50" i="3"/>
  <c r="AB50" i="3"/>
  <c r="AG50" i="3"/>
  <c r="AL50" i="3"/>
  <c r="AC50" i="3"/>
  <c r="AH50" i="3"/>
  <c r="AK50" i="3"/>
  <c r="AN50" i="3"/>
  <c r="AF50" i="3"/>
  <c r="AV50" i="3"/>
  <c r="X50" i="3"/>
  <c r="BD50" i="3"/>
  <c r="Z50" i="3"/>
  <c r="BZ52" i="3"/>
  <c r="CD52" i="3"/>
  <c r="CH52" i="3"/>
  <c r="CL52" i="3"/>
  <c r="CA52" i="3"/>
  <c r="CF52" i="3"/>
  <c r="CK52" i="3"/>
  <c r="BX52" i="3"/>
  <c r="CE52" i="3"/>
  <c r="CM52" i="3"/>
  <c r="CB52" i="3"/>
  <c r="CI52" i="3"/>
  <c r="CO52" i="3"/>
  <c r="CC52" i="3"/>
  <c r="CG52" i="3"/>
  <c r="CJ52" i="3"/>
  <c r="BG52" i="3"/>
  <c r="BK52" i="3"/>
  <c r="BO52" i="3"/>
  <c r="BS52" i="3"/>
  <c r="BW52" i="3"/>
  <c r="CN52" i="3"/>
  <c r="BH52" i="3"/>
  <c r="BL52" i="3"/>
  <c r="BP52" i="3"/>
  <c r="BT52" i="3"/>
  <c r="BF52" i="3"/>
  <c r="BN52" i="3"/>
  <c r="BV52" i="3"/>
  <c r="BR52" i="3"/>
  <c r="BY52" i="3"/>
  <c r="BI52" i="3"/>
  <c r="BQ52" i="3"/>
  <c r="BM52" i="3"/>
  <c r="BU52" i="3"/>
  <c r="AQ52" i="3"/>
  <c r="AU52" i="3"/>
  <c r="AY52" i="3"/>
  <c r="BC52" i="3"/>
  <c r="AO52" i="3"/>
  <c r="AS52" i="3"/>
  <c r="AW52" i="3"/>
  <c r="BA52" i="3"/>
  <c r="BE52" i="3"/>
  <c r="AP52" i="3"/>
  <c r="AX52" i="3"/>
  <c r="AT52" i="3"/>
  <c r="BB52" i="3"/>
  <c r="W52" i="3"/>
  <c r="AA52" i="3"/>
  <c r="AE52" i="3"/>
  <c r="AI52" i="3"/>
  <c r="AM52" i="3"/>
  <c r="AV52" i="3"/>
  <c r="Z52" i="3"/>
  <c r="AF52" i="3"/>
  <c r="AK52" i="3"/>
  <c r="AN52" i="3"/>
  <c r="BD52" i="3"/>
  <c r="X52" i="3"/>
  <c r="AC52" i="3"/>
  <c r="AH52" i="3"/>
  <c r="Y52" i="3"/>
  <c r="AJ52" i="3"/>
  <c r="AZ52" i="3"/>
  <c r="V52" i="3"/>
  <c r="AB52" i="3"/>
  <c r="AL52" i="3"/>
  <c r="AR52" i="3"/>
  <c r="AD52" i="3"/>
  <c r="AG52" i="3"/>
  <c r="BZ54" i="3"/>
  <c r="CD54" i="3"/>
  <c r="CH54" i="3"/>
  <c r="CL54" i="3"/>
  <c r="CB54" i="3"/>
  <c r="CG54" i="3"/>
  <c r="CM54" i="3"/>
  <c r="BX54" i="3"/>
  <c r="CE54" i="3"/>
  <c r="CK54" i="3"/>
  <c r="CA54" i="3"/>
  <c r="CI54" i="3"/>
  <c r="CO54" i="3"/>
  <c r="CJ54" i="3"/>
  <c r="BY54" i="3"/>
  <c r="CN54" i="3"/>
  <c r="CC54" i="3"/>
  <c r="BG54" i="3"/>
  <c r="BK54" i="3"/>
  <c r="BO54" i="3"/>
  <c r="BS54" i="3"/>
  <c r="BW54" i="3"/>
  <c r="CF54" i="3"/>
  <c r="BH54" i="3"/>
  <c r="BL54" i="3"/>
  <c r="BP54" i="3"/>
  <c r="BT54" i="3"/>
  <c r="BJ54" i="3"/>
  <c r="BR54" i="3"/>
  <c r="BN54" i="3"/>
  <c r="BM54" i="3"/>
  <c r="BU54" i="3"/>
  <c r="BF54" i="3"/>
  <c r="BV54" i="3"/>
  <c r="BI54" i="3"/>
  <c r="BQ54" i="3"/>
  <c r="AQ54" i="3"/>
  <c r="AU54" i="3"/>
  <c r="AY54" i="3"/>
  <c r="BC54" i="3"/>
  <c r="AO54" i="3"/>
  <c r="AS54" i="3"/>
  <c r="AW54" i="3"/>
  <c r="BA54" i="3"/>
  <c r="BE54" i="3"/>
  <c r="AT54" i="3"/>
  <c r="BB54" i="3"/>
  <c r="AP54" i="3"/>
  <c r="AX54" i="3"/>
  <c r="W54" i="3"/>
  <c r="AE54" i="3"/>
  <c r="AI54" i="3"/>
  <c r="AM54" i="3"/>
  <c r="AR54" i="3"/>
  <c r="V54" i="3"/>
  <c r="AB54" i="3"/>
  <c r="AG54" i="3"/>
  <c r="AL54" i="3"/>
  <c r="AZ54" i="3"/>
  <c r="Y54" i="3"/>
  <c r="AD54" i="3"/>
  <c r="AJ54" i="3"/>
  <c r="BD54" i="3"/>
  <c r="AF54" i="3"/>
  <c r="Z54" i="3"/>
  <c r="AC54" i="3"/>
  <c r="X54" i="3"/>
  <c r="AH54" i="3"/>
  <c r="AN54" i="3"/>
  <c r="AK54" i="3"/>
  <c r="AV54" i="3"/>
  <c r="BZ56" i="3"/>
  <c r="CD56" i="3"/>
  <c r="CH56" i="3"/>
  <c r="CL56" i="3"/>
  <c r="BX56" i="3"/>
  <c r="CC56" i="3"/>
  <c r="CI56" i="3"/>
  <c r="CN56" i="3"/>
  <c r="CE56" i="3"/>
  <c r="CK56" i="3"/>
  <c r="CA56" i="3"/>
  <c r="CG56" i="3"/>
  <c r="CO56" i="3"/>
  <c r="CB56" i="3"/>
  <c r="CF56" i="3"/>
  <c r="BG56" i="3"/>
  <c r="BK56" i="3"/>
  <c r="BO56" i="3"/>
  <c r="BS56" i="3"/>
  <c r="BW56" i="3"/>
  <c r="BY56" i="3"/>
  <c r="BH56" i="3"/>
  <c r="BL56" i="3"/>
  <c r="BP56" i="3"/>
  <c r="BT56" i="3"/>
  <c r="BF56" i="3"/>
  <c r="BN56" i="3"/>
  <c r="BV56" i="3"/>
  <c r="BJ56" i="3"/>
  <c r="BI56" i="3"/>
  <c r="BQ56" i="3"/>
  <c r="CJ56" i="3"/>
  <c r="BR56" i="3"/>
  <c r="BU56" i="3"/>
  <c r="BM56" i="3"/>
  <c r="CM56" i="3"/>
  <c r="AQ56" i="3"/>
  <c r="AU56" i="3"/>
  <c r="AY56" i="3"/>
  <c r="BC56" i="3"/>
  <c r="AO56" i="3"/>
  <c r="AS56" i="3"/>
  <c r="AW56" i="3"/>
  <c r="BA56" i="3"/>
  <c r="BE56" i="3"/>
  <c r="AP56" i="3"/>
  <c r="AX56" i="3"/>
  <c r="AT56" i="3"/>
  <c r="BB56" i="3"/>
  <c r="W56" i="3"/>
  <c r="AA56" i="3"/>
  <c r="AE56" i="3"/>
  <c r="AI56" i="3"/>
  <c r="AM56" i="3"/>
  <c r="AN56" i="3"/>
  <c r="BD56" i="3"/>
  <c r="X56" i="3"/>
  <c r="AC56" i="3"/>
  <c r="AH56" i="3"/>
  <c r="AV56" i="3"/>
  <c r="AF56" i="3"/>
  <c r="AK56" i="3"/>
  <c r="AZ56" i="3"/>
  <c r="AB56" i="3"/>
  <c r="AL56" i="3"/>
  <c r="AG56" i="3"/>
  <c r="AR56" i="3"/>
  <c r="AJ56" i="3"/>
  <c r="AD56" i="3"/>
  <c r="V56" i="3"/>
  <c r="Y56" i="3"/>
  <c r="BZ58" i="3"/>
  <c r="CD58" i="3"/>
  <c r="CH58" i="3"/>
  <c r="CL58" i="3"/>
  <c r="BY58" i="3"/>
  <c r="CE58" i="3"/>
  <c r="CJ58" i="3"/>
  <c r="CO58" i="3"/>
  <c r="CC58" i="3"/>
  <c r="CK58" i="3"/>
  <c r="CA58" i="3"/>
  <c r="CG58" i="3"/>
  <c r="CN58" i="3"/>
  <c r="CI58" i="3"/>
  <c r="BX58" i="3"/>
  <c r="CM58" i="3"/>
  <c r="BG58" i="3"/>
  <c r="BO58" i="3"/>
  <c r="BS58" i="3"/>
  <c r="BW58" i="3"/>
  <c r="BH58" i="3"/>
  <c r="BL58" i="3"/>
  <c r="BP58" i="3"/>
  <c r="BT58" i="3"/>
  <c r="CB58" i="3"/>
  <c r="BJ58" i="3"/>
  <c r="BR58" i="3"/>
  <c r="BF58" i="3"/>
  <c r="BV58" i="3"/>
  <c r="CF58" i="3"/>
  <c r="BM58" i="3"/>
  <c r="BU58" i="3"/>
  <c r="BN58" i="3"/>
  <c r="BQ58" i="3"/>
  <c r="BI58" i="3"/>
  <c r="AQ58" i="3"/>
  <c r="AU58" i="3"/>
  <c r="AY58" i="3"/>
  <c r="BC58" i="3"/>
  <c r="AO58" i="3"/>
  <c r="AS58" i="3"/>
  <c r="AW58" i="3"/>
  <c r="BA58" i="3"/>
  <c r="BE58" i="3"/>
  <c r="AT58" i="3"/>
  <c r="BB58" i="3"/>
  <c r="AP58" i="3"/>
  <c r="AX58" i="3"/>
  <c r="W58" i="3"/>
  <c r="AA58" i="3"/>
  <c r="AE58" i="3"/>
  <c r="AI58" i="3"/>
  <c r="AM58" i="3"/>
  <c r="AZ58" i="3"/>
  <c r="Y58" i="3"/>
  <c r="AD58" i="3"/>
  <c r="AJ58" i="3"/>
  <c r="AR58" i="3"/>
  <c r="V58" i="3"/>
  <c r="AB58" i="3"/>
  <c r="AG58" i="3"/>
  <c r="AL58" i="3"/>
  <c r="AV58" i="3"/>
  <c r="X58" i="3"/>
  <c r="AH58" i="3"/>
  <c r="BD58" i="3"/>
  <c r="Z58" i="3"/>
  <c r="AK58" i="3"/>
  <c r="AC58" i="3"/>
  <c r="AN58" i="3"/>
  <c r="AF58" i="3"/>
  <c r="BZ60" i="3"/>
  <c r="CD60" i="3"/>
  <c r="CH60" i="3"/>
  <c r="CL60" i="3"/>
  <c r="CA60" i="3"/>
  <c r="CF60" i="3"/>
  <c r="CK60" i="3"/>
  <c r="CC60" i="3"/>
  <c r="CJ60" i="3"/>
  <c r="BY60" i="3"/>
  <c r="CG60" i="3"/>
  <c r="CN60" i="3"/>
  <c r="CB60" i="3"/>
  <c r="CO60" i="3"/>
  <c r="CE60" i="3"/>
  <c r="CI60" i="3"/>
  <c r="BG60" i="3"/>
  <c r="BK60" i="3"/>
  <c r="BO60" i="3"/>
  <c r="BS60" i="3"/>
  <c r="BW60" i="3"/>
  <c r="CM60" i="3"/>
  <c r="BL60" i="3"/>
  <c r="BP60" i="3"/>
  <c r="BT60" i="3"/>
  <c r="BF60" i="3"/>
  <c r="BN60" i="3"/>
  <c r="BV60" i="3"/>
  <c r="BR60" i="3"/>
  <c r="BI60" i="3"/>
  <c r="BQ60" i="3"/>
  <c r="BJ60" i="3"/>
  <c r="BM60" i="3"/>
  <c r="BX60" i="3"/>
  <c r="BU60" i="3"/>
  <c r="AQ60" i="3"/>
  <c r="AU60" i="3"/>
  <c r="AY60" i="3"/>
  <c r="BC60" i="3"/>
  <c r="AO60" i="3"/>
  <c r="AS60" i="3"/>
  <c r="AW60" i="3"/>
  <c r="BA60" i="3"/>
  <c r="BE60" i="3"/>
  <c r="AP60" i="3"/>
  <c r="AX60" i="3"/>
  <c r="AT60" i="3"/>
  <c r="BB60" i="3"/>
  <c r="W60" i="3"/>
  <c r="AA60" i="3"/>
  <c r="AE60" i="3"/>
  <c r="AI60" i="3"/>
  <c r="AM60" i="3"/>
  <c r="AV60" i="3"/>
  <c r="Z60" i="3"/>
  <c r="AF60" i="3"/>
  <c r="AK60" i="3"/>
  <c r="AN60" i="3"/>
  <c r="BD60" i="3"/>
  <c r="X60" i="3"/>
  <c r="AC60" i="3"/>
  <c r="AH60" i="3"/>
  <c r="AR60" i="3"/>
  <c r="AD60" i="3"/>
  <c r="Y60" i="3"/>
  <c r="AB60" i="3"/>
  <c r="AZ60" i="3"/>
  <c r="V60" i="3"/>
  <c r="AG60" i="3"/>
  <c r="AJ60" i="3"/>
  <c r="AL60" i="3"/>
  <c r="BZ62" i="3"/>
  <c r="CD62" i="3"/>
  <c r="CH62" i="3"/>
  <c r="CL62" i="3"/>
  <c r="CB62" i="3"/>
  <c r="CG62" i="3"/>
  <c r="CM62" i="3"/>
  <c r="CC62" i="3"/>
  <c r="CJ62" i="3"/>
  <c r="BY62" i="3"/>
  <c r="CF62" i="3"/>
  <c r="CN62" i="3"/>
  <c r="CI62" i="3"/>
  <c r="BX62" i="3"/>
  <c r="CK62" i="3"/>
  <c r="CA62" i="3"/>
  <c r="BG62" i="3"/>
  <c r="BK62" i="3"/>
  <c r="BO62" i="3"/>
  <c r="BS62" i="3"/>
  <c r="BW62" i="3"/>
  <c r="CE62" i="3"/>
  <c r="BH62" i="3"/>
  <c r="BL62" i="3"/>
  <c r="BP62" i="3"/>
  <c r="BT62" i="3"/>
  <c r="BJ62" i="3"/>
  <c r="BR62" i="3"/>
  <c r="BN62" i="3"/>
  <c r="BM62" i="3"/>
  <c r="BU62" i="3"/>
  <c r="CO62" i="3"/>
  <c r="BF62" i="3"/>
  <c r="BV62" i="3"/>
  <c r="BI62" i="3"/>
  <c r="BQ62" i="3"/>
  <c r="AQ62" i="3"/>
  <c r="AU62" i="3"/>
  <c r="AY62" i="3"/>
  <c r="BC62" i="3"/>
  <c r="AO62" i="3"/>
  <c r="AS62" i="3"/>
  <c r="AW62" i="3"/>
  <c r="BA62" i="3"/>
  <c r="BE62" i="3"/>
  <c r="AT62" i="3"/>
  <c r="BB62" i="3"/>
  <c r="AP62" i="3"/>
  <c r="AX62" i="3"/>
  <c r="W62" i="3"/>
  <c r="AE62" i="3"/>
  <c r="AI62" i="3"/>
  <c r="AM62" i="3"/>
  <c r="AR62" i="3"/>
  <c r="V62" i="3"/>
  <c r="AB62" i="3"/>
  <c r="AG62" i="3"/>
  <c r="AL62" i="3"/>
  <c r="AZ62" i="3"/>
  <c r="Y62" i="3"/>
  <c r="AD62" i="3"/>
  <c r="AJ62" i="3"/>
  <c r="AN62" i="3"/>
  <c r="Z62" i="3"/>
  <c r="AK62" i="3"/>
  <c r="AF62" i="3"/>
  <c r="AH62" i="3"/>
  <c r="AV62" i="3"/>
  <c r="AC62" i="3"/>
  <c r="BD62" i="3"/>
  <c r="X62" i="3"/>
  <c r="BZ66" i="3"/>
  <c r="CD66" i="3"/>
  <c r="CH66" i="3"/>
  <c r="CL66" i="3"/>
  <c r="BY66" i="3"/>
  <c r="CE66" i="3"/>
  <c r="CJ66" i="3"/>
  <c r="CO66" i="3"/>
  <c r="CB66" i="3"/>
  <c r="CI66" i="3"/>
  <c r="BX66" i="3"/>
  <c r="CF66" i="3"/>
  <c r="CM66" i="3"/>
  <c r="CG66" i="3"/>
  <c r="CK66" i="3"/>
  <c r="CN66" i="3"/>
  <c r="BH66" i="3"/>
  <c r="BL66" i="3"/>
  <c r="BP66" i="3"/>
  <c r="BT66" i="3"/>
  <c r="BN66" i="3"/>
  <c r="BS66" i="3"/>
  <c r="BF66" i="3"/>
  <c r="BQ66" i="3"/>
  <c r="BJ66" i="3"/>
  <c r="BO66" i="3"/>
  <c r="BU66" i="3"/>
  <c r="CA66" i="3"/>
  <c r="BK66" i="3"/>
  <c r="BV66" i="3"/>
  <c r="CC66" i="3"/>
  <c r="BG66" i="3"/>
  <c r="BR66" i="3"/>
  <c r="BW66" i="3"/>
  <c r="BM66" i="3"/>
  <c r="AQ66" i="3"/>
  <c r="AU66" i="3"/>
  <c r="AY66" i="3"/>
  <c r="BC66" i="3"/>
  <c r="AO66" i="3"/>
  <c r="AS66" i="3"/>
  <c r="AW66" i="3"/>
  <c r="BA66" i="3"/>
  <c r="BE66" i="3"/>
  <c r="AT66" i="3"/>
  <c r="BB66" i="3"/>
  <c r="AP66" i="3"/>
  <c r="AX66" i="3"/>
  <c r="W66" i="3"/>
  <c r="AZ66" i="3"/>
  <c r="Y66" i="3"/>
  <c r="AC66" i="3"/>
  <c r="AG66" i="3"/>
  <c r="AK66" i="3"/>
  <c r="AR66" i="3"/>
  <c r="V66" i="3"/>
  <c r="AA66" i="3"/>
  <c r="AE66" i="3"/>
  <c r="AI66" i="3"/>
  <c r="AM66" i="3"/>
  <c r="AB66" i="3"/>
  <c r="AJ66" i="3"/>
  <c r="AV66" i="3"/>
  <c r="X66" i="3"/>
  <c r="BD66" i="3"/>
  <c r="Z66" i="3"/>
  <c r="AN66" i="3"/>
  <c r="AD66" i="3"/>
  <c r="AL66" i="3"/>
  <c r="AF66" i="3"/>
  <c r="AH66" i="3"/>
  <c r="CA70" i="3"/>
  <c r="CE70" i="3"/>
  <c r="CI70" i="3"/>
  <c r="CM70" i="3"/>
  <c r="BZ70" i="3"/>
  <c r="CF70" i="3"/>
  <c r="CK70" i="3"/>
  <c r="BX70" i="3"/>
  <c r="CC70" i="3"/>
  <c r="CH70" i="3"/>
  <c r="CN70" i="3"/>
  <c r="CD70" i="3"/>
  <c r="CO70" i="3"/>
  <c r="CG70" i="3"/>
  <c r="BY70" i="3"/>
  <c r="CB70" i="3"/>
  <c r="BH70" i="3"/>
  <c r="BP70" i="3"/>
  <c r="BT70" i="3"/>
  <c r="CJ70" i="3"/>
  <c r="BF70" i="3"/>
  <c r="BK70" i="3"/>
  <c r="BQ70" i="3"/>
  <c r="BV70" i="3"/>
  <c r="BN70" i="3"/>
  <c r="CL70" i="3"/>
  <c r="BG70" i="3"/>
  <c r="BM70" i="3"/>
  <c r="BR70" i="3"/>
  <c r="BW70" i="3"/>
  <c r="BI70" i="3"/>
  <c r="BS70" i="3"/>
  <c r="BU70" i="3"/>
  <c r="BJ70" i="3"/>
  <c r="BO70" i="3"/>
  <c r="AO70" i="3"/>
  <c r="AS70" i="3"/>
  <c r="AW70" i="3"/>
  <c r="BA70" i="3"/>
  <c r="BE70" i="3"/>
  <c r="AQ70" i="3"/>
  <c r="AV70" i="3"/>
  <c r="BB70" i="3"/>
  <c r="AN70" i="3"/>
  <c r="AT70" i="3"/>
  <c r="AY70" i="3"/>
  <c r="BD70" i="3"/>
  <c r="AP70" i="3"/>
  <c r="AZ70" i="3"/>
  <c r="Y70" i="3"/>
  <c r="AC70" i="3"/>
  <c r="AG70" i="3"/>
  <c r="AK70" i="3"/>
  <c r="AU70" i="3"/>
  <c r="W70" i="3"/>
  <c r="AA70" i="3"/>
  <c r="AE70" i="3"/>
  <c r="AI70" i="3"/>
  <c r="AM70" i="3"/>
  <c r="AX70" i="3"/>
  <c r="AB70" i="3"/>
  <c r="AJ70" i="3"/>
  <c r="AF70" i="3"/>
  <c r="AR70" i="3"/>
  <c r="AH70" i="3"/>
  <c r="BC70" i="3"/>
  <c r="V70" i="3"/>
  <c r="AD70" i="3"/>
  <c r="AL70" i="3"/>
  <c r="X70" i="3"/>
  <c r="Z70" i="3"/>
  <c r="CA74" i="3"/>
  <c r="CE74" i="3"/>
  <c r="CI74" i="3"/>
  <c r="CM74" i="3"/>
  <c r="BX74" i="3"/>
  <c r="CC74" i="3"/>
  <c r="CH74" i="3"/>
  <c r="CN74" i="3"/>
  <c r="BZ74" i="3"/>
  <c r="CF74" i="3"/>
  <c r="CK74" i="3"/>
  <c r="CG74" i="3"/>
  <c r="BY74" i="3"/>
  <c r="CJ74" i="3"/>
  <c r="CL74" i="3"/>
  <c r="CO74" i="3"/>
  <c r="BH74" i="3"/>
  <c r="BL74" i="3"/>
  <c r="BP74" i="3"/>
  <c r="BI74" i="3"/>
  <c r="BN74" i="3"/>
  <c r="BS74" i="3"/>
  <c r="BF74" i="3"/>
  <c r="BQ74" i="3"/>
  <c r="BJ74" i="3"/>
  <c r="BO74" i="3"/>
  <c r="BU74" i="3"/>
  <c r="CB74" i="3"/>
  <c r="BK74" i="3"/>
  <c r="BV74" i="3"/>
  <c r="BM74" i="3"/>
  <c r="BW74" i="3"/>
  <c r="CD74" i="3"/>
  <c r="BG74" i="3"/>
  <c r="BR74" i="3"/>
  <c r="AO74" i="3"/>
  <c r="AS74" i="3"/>
  <c r="AW74" i="3"/>
  <c r="BA74" i="3"/>
  <c r="BE74" i="3"/>
  <c r="AN74" i="3"/>
  <c r="AT74" i="3"/>
  <c r="AY74" i="3"/>
  <c r="BD74" i="3"/>
  <c r="AQ74" i="3"/>
  <c r="AV74" i="3"/>
  <c r="BB74" i="3"/>
  <c r="AR74" i="3"/>
  <c r="BC74" i="3"/>
  <c r="Y74" i="3"/>
  <c r="AC74" i="3"/>
  <c r="AG74" i="3"/>
  <c r="AK74" i="3"/>
  <c r="AX74" i="3"/>
  <c r="W74" i="3"/>
  <c r="AA74" i="3"/>
  <c r="AE74" i="3"/>
  <c r="AI74" i="3"/>
  <c r="AM74" i="3"/>
  <c r="AP74" i="3"/>
  <c r="AB74" i="3"/>
  <c r="AJ74" i="3"/>
  <c r="X74" i="3"/>
  <c r="Z74" i="3"/>
  <c r="AU74" i="3"/>
  <c r="V74" i="3"/>
  <c r="AD74" i="3"/>
  <c r="AL74" i="3"/>
  <c r="AZ74" i="3"/>
  <c r="AF74" i="3"/>
  <c r="AH74" i="3"/>
  <c r="CA76" i="3"/>
  <c r="CE76" i="3"/>
  <c r="CI76" i="3"/>
  <c r="CM76" i="3"/>
  <c r="BY76" i="3"/>
  <c r="CD76" i="3"/>
  <c r="CJ76" i="3"/>
  <c r="CO76" i="3"/>
  <c r="CB76" i="3"/>
  <c r="CG76" i="3"/>
  <c r="CL76" i="3"/>
  <c r="CC76" i="3"/>
  <c r="CN76" i="3"/>
  <c r="CF76" i="3"/>
  <c r="BX76" i="3"/>
  <c r="BZ76" i="3"/>
  <c r="BH76" i="3"/>
  <c r="BL76" i="3"/>
  <c r="BP76" i="3"/>
  <c r="BT76" i="3"/>
  <c r="BO76" i="3"/>
  <c r="BU76" i="3"/>
  <c r="BM76" i="3"/>
  <c r="BW76" i="3"/>
  <c r="BF76" i="3"/>
  <c r="BK76" i="3"/>
  <c r="BQ76" i="3"/>
  <c r="BV76" i="3"/>
  <c r="CH76" i="3"/>
  <c r="BG76" i="3"/>
  <c r="BR76" i="3"/>
  <c r="CK76" i="3"/>
  <c r="BS76" i="3"/>
  <c r="BI76" i="3"/>
  <c r="BN76" i="3"/>
  <c r="AO76" i="3"/>
  <c r="AS76" i="3"/>
  <c r="AW76" i="3"/>
  <c r="BA76" i="3"/>
  <c r="BE76" i="3"/>
  <c r="AP76" i="3"/>
  <c r="AU76" i="3"/>
  <c r="AZ76" i="3"/>
  <c r="AR76" i="3"/>
  <c r="AX76" i="3"/>
  <c r="BC76" i="3"/>
  <c r="AN76" i="3"/>
  <c r="AY76" i="3"/>
  <c r="Y76" i="3"/>
  <c r="AC76" i="3"/>
  <c r="AG76" i="3"/>
  <c r="AK76" i="3"/>
  <c r="AT76" i="3"/>
  <c r="BD76" i="3"/>
  <c r="W76" i="3"/>
  <c r="AA76" i="3"/>
  <c r="AE76" i="3"/>
  <c r="AI76" i="3"/>
  <c r="AM76" i="3"/>
  <c r="AV76" i="3"/>
  <c r="X76" i="3"/>
  <c r="AF76" i="3"/>
  <c r="AJ76" i="3"/>
  <c r="V76" i="3"/>
  <c r="AL76" i="3"/>
  <c r="BB76" i="3"/>
  <c r="Z76" i="3"/>
  <c r="AH76" i="3"/>
  <c r="AB76" i="3"/>
  <c r="AQ76" i="3"/>
  <c r="AD76" i="3"/>
  <c r="CA78" i="3"/>
  <c r="CE78" i="3"/>
  <c r="CI78" i="3"/>
  <c r="CM78" i="3"/>
  <c r="BZ78" i="3"/>
  <c r="CF78" i="3"/>
  <c r="CK78" i="3"/>
  <c r="BX78" i="3"/>
  <c r="CC78" i="3"/>
  <c r="CH78" i="3"/>
  <c r="CN78" i="3"/>
  <c r="BY78" i="3"/>
  <c r="CJ78" i="3"/>
  <c r="CB78" i="3"/>
  <c r="CL78" i="3"/>
  <c r="CD78" i="3"/>
  <c r="CG78" i="3"/>
  <c r="BH78" i="3"/>
  <c r="BL78" i="3"/>
  <c r="BP78" i="3"/>
  <c r="BT78" i="3"/>
  <c r="BF78" i="3"/>
  <c r="BK78" i="3"/>
  <c r="BQ78" i="3"/>
  <c r="BV78" i="3"/>
  <c r="BI78" i="3"/>
  <c r="BN78" i="3"/>
  <c r="BG78" i="3"/>
  <c r="BM78" i="3"/>
  <c r="BR78" i="3"/>
  <c r="BW78" i="3"/>
  <c r="CO78" i="3"/>
  <c r="BS78" i="3"/>
  <c r="BO78" i="3"/>
  <c r="BU78" i="3"/>
  <c r="AO78" i="3"/>
  <c r="AS78" i="3"/>
  <c r="AW78" i="3"/>
  <c r="BA78" i="3"/>
  <c r="BE78" i="3"/>
  <c r="AQ78" i="3"/>
  <c r="AV78" i="3"/>
  <c r="BB78" i="3"/>
  <c r="AN78" i="3"/>
  <c r="AT78" i="3"/>
  <c r="AY78" i="3"/>
  <c r="BD78" i="3"/>
  <c r="AU78" i="3"/>
  <c r="Y78" i="3"/>
  <c r="AC78" i="3"/>
  <c r="AG78" i="3"/>
  <c r="AK78" i="3"/>
  <c r="AP78" i="3"/>
  <c r="AZ78" i="3"/>
  <c r="W78" i="3"/>
  <c r="AA78" i="3"/>
  <c r="AE78" i="3"/>
  <c r="AI78" i="3"/>
  <c r="AM78" i="3"/>
  <c r="BC78" i="3"/>
  <c r="AB78" i="3"/>
  <c r="AJ78" i="3"/>
  <c r="AR78" i="3"/>
  <c r="AF78" i="3"/>
  <c r="AH78" i="3"/>
  <c r="V78" i="3"/>
  <c r="AD78" i="3"/>
  <c r="AL78" i="3"/>
  <c r="X78" i="3"/>
  <c r="AX78" i="3"/>
  <c r="Z78" i="3"/>
  <c r="CA82" i="3"/>
  <c r="CE82" i="3"/>
  <c r="CI82" i="3"/>
  <c r="CM82" i="3"/>
  <c r="BY82" i="3"/>
  <c r="CC82" i="3"/>
  <c r="CG82" i="3"/>
  <c r="CK82" i="3"/>
  <c r="CO82" i="3"/>
  <c r="BZ82" i="3"/>
  <c r="CH82" i="3"/>
  <c r="CB82" i="3"/>
  <c r="CJ82" i="3"/>
  <c r="CD82" i="3"/>
  <c r="CF82" i="3"/>
  <c r="BL82" i="3"/>
  <c r="BP82" i="3"/>
  <c r="BT82" i="3"/>
  <c r="BI82" i="3"/>
  <c r="BN82" i="3"/>
  <c r="BS82" i="3"/>
  <c r="BF82" i="3"/>
  <c r="BQ82" i="3"/>
  <c r="BX82" i="3"/>
  <c r="BJ82" i="3"/>
  <c r="BO82" i="3"/>
  <c r="BU82" i="3"/>
  <c r="CL82" i="3"/>
  <c r="BK82" i="3"/>
  <c r="BV82" i="3"/>
  <c r="BR82" i="3"/>
  <c r="BG82" i="3"/>
  <c r="CN82" i="3"/>
  <c r="BM82" i="3"/>
  <c r="BW82" i="3"/>
  <c r="AO82" i="3"/>
  <c r="AS82" i="3"/>
  <c r="AW82" i="3"/>
  <c r="BA82" i="3"/>
  <c r="BE82" i="3"/>
  <c r="AN82" i="3"/>
  <c r="AT82" i="3"/>
  <c r="AY82" i="3"/>
  <c r="BD82" i="3"/>
  <c r="AQ82" i="3"/>
  <c r="AV82" i="3"/>
  <c r="BB82" i="3"/>
  <c r="AX82" i="3"/>
  <c r="Y82" i="3"/>
  <c r="AC82" i="3"/>
  <c r="AG82" i="3"/>
  <c r="AK82" i="3"/>
  <c r="AR82" i="3"/>
  <c r="BC82" i="3"/>
  <c r="W82" i="3"/>
  <c r="AA82" i="3"/>
  <c r="AE82" i="3"/>
  <c r="AI82" i="3"/>
  <c r="AM82" i="3"/>
  <c r="AU82" i="3"/>
  <c r="AB82" i="3"/>
  <c r="AJ82" i="3"/>
  <c r="X82" i="3"/>
  <c r="AP82" i="3"/>
  <c r="AH82" i="3"/>
  <c r="AZ82" i="3"/>
  <c r="V82" i="3"/>
  <c r="AD82" i="3"/>
  <c r="AL82" i="3"/>
  <c r="AF82" i="3"/>
  <c r="Z82" i="3"/>
  <c r="CA84" i="3"/>
  <c r="CE84" i="3"/>
  <c r="CI84" i="3"/>
  <c r="CM84" i="3"/>
  <c r="BY84" i="3"/>
  <c r="CC84" i="3"/>
  <c r="CG84" i="3"/>
  <c r="CK84" i="3"/>
  <c r="CO84" i="3"/>
  <c r="CD84" i="3"/>
  <c r="CL84" i="3"/>
  <c r="BX84" i="3"/>
  <c r="CF84" i="3"/>
  <c r="CN84" i="3"/>
  <c r="BZ84" i="3"/>
  <c r="CB84" i="3"/>
  <c r="BH84" i="3"/>
  <c r="BP84" i="3"/>
  <c r="BT84" i="3"/>
  <c r="BJ84" i="3"/>
  <c r="BO84" i="3"/>
  <c r="BU84" i="3"/>
  <c r="BG84" i="3"/>
  <c r="BR84" i="3"/>
  <c r="BF84" i="3"/>
  <c r="BK84" i="3"/>
  <c r="BQ84" i="3"/>
  <c r="BV84" i="3"/>
  <c r="CH84" i="3"/>
  <c r="BM84" i="3"/>
  <c r="BW84" i="3"/>
  <c r="CJ84" i="3"/>
  <c r="BI84" i="3"/>
  <c r="BN84" i="3"/>
  <c r="BS84" i="3"/>
  <c r="AO84" i="3"/>
  <c r="AS84" i="3"/>
  <c r="AW84" i="3"/>
  <c r="BA84" i="3"/>
  <c r="BE84" i="3"/>
  <c r="AQ84" i="3"/>
  <c r="AU84" i="3"/>
  <c r="AY84" i="3"/>
  <c r="BC84" i="3"/>
  <c r="AN84" i="3"/>
  <c r="AV84" i="3"/>
  <c r="BD84" i="3"/>
  <c r="Y84" i="3"/>
  <c r="AC84" i="3"/>
  <c r="AG84" i="3"/>
  <c r="AK84" i="3"/>
  <c r="AR84" i="3"/>
  <c r="AZ84" i="3"/>
  <c r="W84" i="3"/>
  <c r="AA84" i="3"/>
  <c r="AE84" i="3"/>
  <c r="AI84" i="3"/>
  <c r="AM84" i="3"/>
  <c r="AT84" i="3"/>
  <c r="X84" i="3"/>
  <c r="AF84" i="3"/>
  <c r="BB84" i="3"/>
  <c r="AB84" i="3"/>
  <c r="AP84" i="3"/>
  <c r="AD84" i="3"/>
  <c r="AX84" i="3"/>
  <c r="Z84" i="3"/>
  <c r="AH84" i="3"/>
  <c r="AJ84" i="3"/>
  <c r="V84" i="3"/>
  <c r="AL84" i="3"/>
  <c r="CA86" i="3"/>
  <c r="CE86" i="3"/>
  <c r="CI86" i="3"/>
  <c r="CM86" i="3"/>
  <c r="BY86" i="3"/>
  <c r="CC86" i="3"/>
  <c r="CG86" i="3"/>
  <c r="CK86" i="3"/>
  <c r="CO86" i="3"/>
  <c r="BZ86" i="3"/>
  <c r="CH86" i="3"/>
  <c r="CB86" i="3"/>
  <c r="CJ86" i="3"/>
  <c r="CL86" i="3"/>
  <c r="BX86" i="3"/>
  <c r="CN86" i="3"/>
  <c r="BL86" i="3"/>
  <c r="BP86" i="3"/>
  <c r="BT86" i="3"/>
  <c r="BF86" i="3"/>
  <c r="BK86" i="3"/>
  <c r="BQ86" i="3"/>
  <c r="BV86" i="3"/>
  <c r="BN86" i="3"/>
  <c r="BG86" i="3"/>
  <c r="BM86" i="3"/>
  <c r="BR86" i="3"/>
  <c r="BW86" i="3"/>
  <c r="CD86" i="3"/>
  <c r="BI86" i="3"/>
  <c r="BS86" i="3"/>
  <c r="BJ86" i="3"/>
  <c r="BO86" i="3"/>
  <c r="BU86" i="3"/>
  <c r="CF86" i="3"/>
  <c r="AO86" i="3"/>
  <c r="AS86" i="3"/>
  <c r="AW86" i="3"/>
  <c r="BA86" i="3"/>
  <c r="BE86" i="3"/>
  <c r="AQ86" i="3"/>
  <c r="AU86" i="3"/>
  <c r="AY86" i="3"/>
  <c r="BC86" i="3"/>
  <c r="AR86" i="3"/>
  <c r="AZ86" i="3"/>
  <c r="Y86" i="3"/>
  <c r="AC86" i="3"/>
  <c r="AG86" i="3"/>
  <c r="AK86" i="3"/>
  <c r="AN86" i="3"/>
  <c r="AV86" i="3"/>
  <c r="BD86" i="3"/>
  <c r="W86" i="3"/>
  <c r="AA86" i="3"/>
  <c r="AE86" i="3"/>
  <c r="AI86" i="3"/>
  <c r="AM86" i="3"/>
  <c r="AP86" i="3"/>
  <c r="AB86" i="3"/>
  <c r="AJ86" i="3"/>
  <c r="AX86" i="3"/>
  <c r="X86" i="3"/>
  <c r="BB86" i="3"/>
  <c r="Z86" i="3"/>
  <c r="AT86" i="3"/>
  <c r="V86" i="3"/>
  <c r="AD86" i="3"/>
  <c r="AL86" i="3"/>
  <c r="AF86" i="3"/>
  <c r="AH86" i="3"/>
  <c r="BY90" i="3"/>
  <c r="CC90" i="3"/>
  <c r="CG90" i="3"/>
  <c r="CK90" i="3"/>
  <c r="CO90" i="3"/>
  <c r="CA90" i="3"/>
  <c r="CF90" i="3"/>
  <c r="CL90" i="3"/>
  <c r="CB90" i="3"/>
  <c r="CH90" i="3"/>
  <c r="CM90" i="3"/>
  <c r="BX90" i="3"/>
  <c r="CI90" i="3"/>
  <c r="BZ90" i="3"/>
  <c r="CJ90" i="3"/>
  <c r="BH90" i="3"/>
  <c r="BL90" i="3"/>
  <c r="BP90" i="3"/>
  <c r="BT90" i="3"/>
  <c r="CD90" i="3"/>
  <c r="BI90" i="3"/>
  <c r="BN90" i="3"/>
  <c r="BS90" i="3"/>
  <c r="BK90" i="3"/>
  <c r="BV90" i="3"/>
  <c r="CE90" i="3"/>
  <c r="BO90" i="3"/>
  <c r="BU90" i="3"/>
  <c r="CN90" i="3"/>
  <c r="BF90" i="3"/>
  <c r="BQ90" i="3"/>
  <c r="BW90" i="3"/>
  <c r="BM90" i="3"/>
  <c r="BR90" i="3"/>
  <c r="BG90" i="3"/>
  <c r="AO90" i="3"/>
  <c r="AS90" i="3"/>
  <c r="AW90" i="3"/>
  <c r="BA90" i="3"/>
  <c r="BE90" i="3"/>
  <c r="AQ90" i="3"/>
  <c r="AU90" i="3"/>
  <c r="AY90" i="3"/>
  <c r="BC90" i="3"/>
  <c r="AR90" i="3"/>
  <c r="AZ90" i="3"/>
  <c r="Y90" i="3"/>
  <c r="AC90" i="3"/>
  <c r="AG90" i="3"/>
  <c r="AK90" i="3"/>
  <c r="AN90" i="3"/>
  <c r="AV90" i="3"/>
  <c r="BD90" i="3"/>
  <c r="W90" i="3"/>
  <c r="AA90" i="3"/>
  <c r="AE90" i="3"/>
  <c r="AI90" i="3"/>
  <c r="AM90" i="3"/>
  <c r="AX90" i="3"/>
  <c r="AB90" i="3"/>
  <c r="AJ90" i="3"/>
  <c r="AP90" i="3"/>
  <c r="X90" i="3"/>
  <c r="AT90" i="3"/>
  <c r="Z90" i="3"/>
  <c r="BB90" i="3"/>
  <c r="V90" i="3"/>
  <c r="AD90" i="3"/>
  <c r="AL90" i="3"/>
  <c r="AF90" i="3"/>
  <c r="AH90" i="3"/>
  <c r="BY92" i="3"/>
  <c r="CC92" i="3"/>
  <c r="CG92" i="3"/>
  <c r="CK92" i="3"/>
  <c r="CO92" i="3"/>
  <c r="CB92" i="3"/>
  <c r="CH92" i="3"/>
  <c r="CM92" i="3"/>
  <c r="BX92" i="3"/>
  <c r="CD92" i="3"/>
  <c r="CI92" i="3"/>
  <c r="CN92" i="3"/>
  <c r="CE92" i="3"/>
  <c r="CF92" i="3"/>
  <c r="BH92" i="3"/>
  <c r="BL92" i="3"/>
  <c r="BP92" i="3"/>
  <c r="BT92" i="3"/>
  <c r="CJ92" i="3"/>
  <c r="BO92" i="3"/>
  <c r="BU92" i="3"/>
  <c r="BG92" i="3"/>
  <c r="BR92" i="3"/>
  <c r="CL92" i="3"/>
  <c r="BF92" i="3"/>
  <c r="BK92" i="3"/>
  <c r="BQ92" i="3"/>
  <c r="BV92" i="3"/>
  <c r="BZ92" i="3"/>
  <c r="BM92" i="3"/>
  <c r="BW92" i="3"/>
  <c r="BI92" i="3"/>
  <c r="BS92" i="3"/>
  <c r="CA92" i="3"/>
  <c r="BN92" i="3"/>
  <c r="AO92" i="3"/>
  <c r="AS92" i="3"/>
  <c r="AW92" i="3"/>
  <c r="BA92" i="3"/>
  <c r="BE92" i="3"/>
  <c r="AQ92" i="3"/>
  <c r="AU92" i="3"/>
  <c r="AY92" i="3"/>
  <c r="BC92" i="3"/>
  <c r="AN92" i="3"/>
  <c r="AV92" i="3"/>
  <c r="BD92" i="3"/>
  <c r="Y92" i="3"/>
  <c r="AC92" i="3"/>
  <c r="AG92" i="3"/>
  <c r="AK92" i="3"/>
  <c r="AR92" i="3"/>
  <c r="AZ92" i="3"/>
  <c r="W92" i="3"/>
  <c r="AA92" i="3"/>
  <c r="AE92" i="3"/>
  <c r="AI92" i="3"/>
  <c r="AM92" i="3"/>
  <c r="AT92" i="3"/>
  <c r="X92" i="3"/>
  <c r="AF92" i="3"/>
  <c r="AJ92" i="3"/>
  <c r="AP92" i="3"/>
  <c r="V92" i="3"/>
  <c r="AL92" i="3"/>
  <c r="AX92" i="3"/>
  <c r="Z92" i="3"/>
  <c r="AH92" i="3"/>
  <c r="BB92" i="3"/>
  <c r="AB92" i="3"/>
  <c r="AD92" i="3"/>
  <c r="BY94" i="3"/>
  <c r="CC94" i="3"/>
  <c r="CG94" i="3"/>
  <c r="CK94" i="3"/>
  <c r="CO94" i="3"/>
  <c r="BX94" i="3"/>
  <c r="CD94" i="3"/>
  <c r="CI94" i="3"/>
  <c r="CN94" i="3"/>
  <c r="BZ94" i="3"/>
  <c r="CE94" i="3"/>
  <c r="CJ94" i="3"/>
  <c r="CA94" i="3"/>
  <c r="CL94" i="3"/>
  <c r="CB94" i="3"/>
  <c r="CM94" i="3"/>
  <c r="BH94" i="3"/>
  <c r="BL94" i="3"/>
  <c r="BP94" i="3"/>
  <c r="BT94" i="3"/>
  <c r="BF94" i="3"/>
  <c r="BK94" i="3"/>
  <c r="BQ94" i="3"/>
  <c r="BV94" i="3"/>
  <c r="BN94" i="3"/>
  <c r="BG94" i="3"/>
  <c r="BM94" i="3"/>
  <c r="BR94" i="3"/>
  <c r="BW94" i="3"/>
  <c r="CF94" i="3"/>
  <c r="BI94" i="3"/>
  <c r="BS94" i="3"/>
  <c r="BO94" i="3"/>
  <c r="CH94" i="3"/>
  <c r="BJ94" i="3"/>
  <c r="BU94" i="3"/>
  <c r="AO94" i="3"/>
  <c r="AS94" i="3"/>
  <c r="AW94" i="3"/>
  <c r="BA94" i="3"/>
  <c r="BE94" i="3"/>
  <c r="AQ94" i="3"/>
  <c r="AU94" i="3"/>
  <c r="AY94" i="3"/>
  <c r="BC94" i="3"/>
  <c r="AR94" i="3"/>
  <c r="AZ94" i="3"/>
  <c r="Y94" i="3"/>
  <c r="AC94" i="3"/>
  <c r="AG94" i="3"/>
  <c r="AK94" i="3"/>
  <c r="AN94" i="3"/>
  <c r="AV94" i="3"/>
  <c r="BD94" i="3"/>
  <c r="W94" i="3"/>
  <c r="AA94" i="3"/>
  <c r="AE94" i="3"/>
  <c r="AI94" i="3"/>
  <c r="AM94" i="3"/>
  <c r="AP94" i="3"/>
  <c r="AB94" i="3"/>
  <c r="AJ94" i="3"/>
  <c r="AF94" i="3"/>
  <c r="BB94" i="3"/>
  <c r="AH94" i="3"/>
  <c r="AT94" i="3"/>
  <c r="V94" i="3"/>
  <c r="AD94" i="3"/>
  <c r="AL94" i="3"/>
  <c r="AX94" i="3"/>
  <c r="X94" i="3"/>
  <c r="X6" i="3"/>
  <c r="W6" i="3"/>
  <c r="BL7" i="3"/>
  <c r="AB12" i="3"/>
  <c r="AD14" i="3"/>
  <c r="AB64" i="3"/>
  <c r="BI68" i="3"/>
  <c r="BK72" i="3"/>
  <c r="BL80" i="3"/>
  <c r="BH88" i="3"/>
  <c r="X10" i="3"/>
  <c r="BK22" i="3"/>
  <c r="X11" i="3"/>
  <c r="BH45" i="3"/>
  <c r="BH47" i="3"/>
  <c r="AB61" i="3"/>
  <c r="BQ73" i="3"/>
  <c r="BH89" i="3"/>
  <c r="W16" i="3"/>
  <c r="AD13" i="3"/>
  <c r="Z30" i="3"/>
  <c r="X32" i="3"/>
  <c r="BI35" i="3"/>
  <c r="BJ43" i="3"/>
  <c r="BH49" i="3"/>
  <c r="BK51" i="3"/>
  <c r="BJ53" i="3"/>
  <c r="Z55" i="3"/>
  <c r="AA57" i="3"/>
  <c r="BJ59" i="3"/>
  <c r="BL63" i="3"/>
  <c r="AA65" i="3"/>
  <c r="BI67" i="3"/>
  <c r="BK69" i="3"/>
  <c r="BJ71" i="3"/>
  <c r="BK75" i="3"/>
  <c r="BJ77" i="3"/>
  <c r="BJ79" i="3"/>
  <c r="BJ81" i="3"/>
  <c r="BJ83" i="3"/>
  <c r="BJ85" i="3"/>
  <c r="BJ87" i="3"/>
  <c r="Z91" i="3"/>
  <c r="BJ93" i="3"/>
  <c r="BL8" i="3"/>
  <c r="Z15" i="3"/>
  <c r="BL9" i="3"/>
  <c r="BI31" i="3"/>
  <c r="BI34" i="3"/>
  <c r="BH44" i="3"/>
  <c r="BI46" i="3"/>
  <c r="BH48" i="3"/>
  <c r="BJ50" i="3"/>
  <c r="BJ52" i="3"/>
  <c r="AA54" i="3"/>
  <c r="Z56" i="3"/>
  <c r="BK58" i="3"/>
  <c r="BH60" i="3"/>
  <c r="AA62" i="3"/>
  <c r="BI66" i="3"/>
  <c r="BL70" i="3"/>
  <c r="BT74" i="3"/>
  <c r="BJ76" i="3"/>
  <c r="BJ78" i="3"/>
  <c r="BH82" i="3"/>
  <c r="BL84" i="3"/>
  <c r="BH86" i="3"/>
  <c r="BJ90" i="3"/>
  <c r="BJ92" i="3"/>
  <c r="Z94" i="3"/>
  <c r="X33" i="3"/>
  <c r="N107" i="2"/>
  <c r="G116" i="2" s="1"/>
  <c r="AD107" i="2"/>
  <c r="G120" i="2" s="1"/>
  <c r="R107" i="2"/>
  <c r="G117" i="2" s="1"/>
  <c r="AH107" i="2"/>
  <c r="G121" i="2" s="1"/>
  <c r="O107" i="2"/>
  <c r="H116" i="2" s="1"/>
  <c r="D64" i="7" s="1"/>
  <c r="H64" i="7" s="1"/>
  <c r="AE107" i="2"/>
  <c r="H120" i="2" s="1"/>
  <c r="Q107" i="2"/>
  <c r="J116" i="2" s="1"/>
  <c r="D196" i="7" s="1"/>
  <c r="H196" i="7" s="1"/>
  <c r="I196" i="7" s="1"/>
  <c r="AG107" i="2"/>
  <c r="J120" i="2" s="1"/>
  <c r="M107" i="2"/>
  <c r="J115" i="2" s="1"/>
  <c r="D195" i="7" s="1"/>
  <c r="H195" i="7" s="1"/>
  <c r="I195" i="7" s="1"/>
  <c r="AC107" i="2"/>
  <c r="J119" i="2" s="1"/>
  <c r="I107" i="2"/>
  <c r="J114" i="2" s="1"/>
  <c r="D194" i="7" s="1"/>
  <c r="H194" i="7" s="1"/>
  <c r="I194" i="7" s="1"/>
  <c r="Y107" i="2"/>
  <c r="J118" i="2" s="1"/>
  <c r="D198" i="7" s="1"/>
  <c r="H198" i="7" s="1"/>
  <c r="I198" i="7" s="1"/>
  <c r="AO107" i="2"/>
  <c r="J122" i="2" s="1"/>
  <c r="T107" i="2"/>
  <c r="I117" i="2" s="1"/>
  <c r="D69" i="7" s="1"/>
  <c r="H69" i="7" s="1"/>
  <c r="I69" i="7" s="1"/>
  <c r="AJ107" i="2"/>
  <c r="I121" i="2" s="1"/>
  <c r="G107" i="2"/>
  <c r="H114" i="2" s="1"/>
  <c r="D63" i="7" s="1"/>
  <c r="H63" i="7" s="1"/>
  <c r="W107" i="2"/>
  <c r="H118" i="2" s="1"/>
  <c r="AM107" i="2"/>
  <c r="H122" i="2" s="1"/>
  <c r="F107" i="2"/>
  <c r="G114" i="2" s="1"/>
  <c r="L107" i="2"/>
  <c r="I115" i="2" s="1"/>
  <c r="D67" i="7" s="1"/>
  <c r="H67" i="7" s="1"/>
  <c r="I67" i="7" s="1"/>
  <c r="V107" i="2"/>
  <c r="G118" i="2" s="1"/>
  <c r="AB107" i="2"/>
  <c r="I119" i="2" s="1"/>
  <c r="AL107" i="2"/>
  <c r="G122" i="2" s="1"/>
  <c r="K107" i="2"/>
  <c r="H115" i="2" s="1"/>
  <c r="AA107" i="2"/>
  <c r="H119" i="2" s="1"/>
  <c r="AK107" i="2"/>
  <c r="J121" i="2" s="1"/>
  <c r="U107" i="2"/>
  <c r="J117" i="2" s="1"/>
  <c r="D197" i="7" s="1"/>
  <c r="H197" i="7" s="1"/>
  <c r="I197" i="7" s="1"/>
  <c r="AF107" i="2"/>
  <c r="I120" i="2" s="1"/>
  <c r="P107" i="2"/>
  <c r="I116" i="2" s="1"/>
  <c r="D68" i="7" s="1"/>
  <c r="H68" i="7" s="1"/>
  <c r="I68" i="7" s="1"/>
  <c r="K110" i="2"/>
  <c r="D190" i="7" l="1"/>
  <c r="H190" i="7" s="1"/>
  <c r="I190" i="7" s="1"/>
  <c r="D58" i="7"/>
  <c r="H58" i="7" s="1"/>
  <c r="I58" i="7" s="1"/>
  <c r="I62" i="7"/>
  <c r="D57" i="7"/>
  <c r="H57" i="7" s="1"/>
  <c r="I57" i="7" s="1"/>
  <c r="D189" i="7"/>
  <c r="H189" i="7" s="1"/>
  <c r="I189" i="7" s="1"/>
  <c r="D192" i="7"/>
  <c r="H192" i="7" s="1"/>
  <c r="I192" i="7" s="1"/>
  <c r="D60" i="7"/>
  <c r="H60" i="7" s="1"/>
  <c r="I60" i="7" s="1"/>
  <c r="H165" i="7"/>
  <c r="I165" i="7" s="1"/>
  <c r="E168" i="7"/>
  <c r="D188" i="7"/>
  <c r="D56" i="7"/>
  <c r="H56" i="7" s="1"/>
  <c r="I56" i="7" s="1"/>
  <c r="D191" i="7"/>
  <c r="H191" i="7" s="1"/>
  <c r="I191" i="7" s="1"/>
  <c r="D59" i="7"/>
  <c r="H59" i="7" s="1"/>
  <c r="I59" i="7" s="1"/>
  <c r="D61" i="5"/>
  <c r="H61" i="5" s="1"/>
  <c r="I61" i="5" s="1"/>
  <c r="D193" i="7"/>
  <c r="H193" i="7" s="1"/>
  <c r="I193" i="7" s="1"/>
  <c r="D61" i="7"/>
  <c r="H61" i="7" s="1"/>
  <c r="I61" i="7" s="1"/>
  <c r="D193" i="5"/>
  <c r="H193" i="5" s="1"/>
  <c r="I193" i="5" s="1"/>
  <c r="D52" i="5"/>
  <c r="H52" i="5" s="1"/>
  <c r="I52" i="5" s="1"/>
  <c r="CY95" i="3"/>
  <c r="CR95" i="3"/>
  <c r="C122" i="3" s="1"/>
  <c r="E50" i="7" s="1"/>
  <c r="H50" i="7" s="1"/>
  <c r="I50" i="7" s="1"/>
  <c r="D178" i="7" s="1"/>
  <c r="H178" i="7" s="1"/>
  <c r="D69" i="5"/>
  <c r="H69" i="5" s="1"/>
  <c r="I69" i="5" s="1"/>
  <c r="D195" i="5"/>
  <c r="H195" i="5" s="1"/>
  <c r="I195" i="5" s="1"/>
  <c r="D66" i="5"/>
  <c r="H66" i="5" s="1"/>
  <c r="I66" i="5" s="1"/>
  <c r="D189" i="5"/>
  <c r="H189" i="5" s="1"/>
  <c r="I189" i="5" s="1"/>
  <c r="D63" i="5"/>
  <c r="H63" i="5" s="1"/>
  <c r="E165" i="5"/>
  <c r="H165" i="5" s="1"/>
  <c r="I165" i="5" s="1"/>
  <c r="D202" i="5"/>
  <c r="H202" i="5" s="1"/>
  <c r="I202" i="5" s="1"/>
  <c r="D70" i="5"/>
  <c r="H70" i="5" s="1"/>
  <c r="I70" i="5" s="1"/>
  <c r="CT95" i="3"/>
  <c r="C124" i="3" s="1"/>
  <c r="E51" i="7" s="1"/>
  <c r="H51" i="7" s="1"/>
  <c r="I51" i="7" s="1"/>
  <c r="D179" i="7" s="1"/>
  <c r="H179" i="7" s="1"/>
  <c r="D68" i="5"/>
  <c r="H68" i="5" s="1"/>
  <c r="I68" i="5" s="1"/>
  <c r="D64" i="5"/>
  <c r="H64" i="5" s="1"/>
  <c r="D67" i="5"/>
  <c r="H67" i="5" s="1"/>
  <c r="I67" i="5" s="1"/>
  <c r="D198" i="5"/>
  <c r="H198" i="5" s="1"/>
  <c r="I198" i="5" s="1"/>
  <c r="D197" i="5"/>
  <c r="H197" i="5" s="1"/>
  <c r="I197" i="5" s="1"/>
  <c r="D194" i="5"/>
  <c r="H194" i="5" s="1"/>
  <c r="I194" i="5" s="1"/>
  <c r="D196" i="5"/>
  <c r="H196" i="5" s="1"/>
  <c r="I196" i="5" s="1"/>
  <c r="D201" i="5"/>
  <c r="H201" i="5" s="1"/>
  <c r="I201" i="5" s="1"/>
  <c r="D57" i="5"/>
  <c r="D188" i="5"/>
  <c r="D56" i="5"/>
  <c r="D191" i="5"/>
  <c r="H191" i="5" s="1"/>
  <c r="I191" i="5" s="1"/>
  <c r="D59" i="5"/>
  <c r="D192" i="5"/>
  <c r="H192" i="5" s="1"/>
  <c r="I192" i="5" s="1"/>
  <c r="D60" i="5"/>
  <c r="D190" i="5"/>
  <c r="H190" i="5" s="1"/>
  <c r="I190" i="5" s="1"/>
  <c r="D58" i="5"/>
  <c r="ES95" i="3"/>
  <c r="C141" i="3" s="1"/>
  <c r="E166" i="7" s="1"/>
  <c r="EQ95" i="3"/>
  <c r="A141" i="3" s="1"/>
  <c r="E164" i="7" s="1"/>
  <c r="DW95" i="3"/>
  <c r="DM95" i="3"/>
  <c r="E137" i="3" s="1"/>
  <c r="DH95" i="3"/>
  <c r="DR95" i="3"/>
  <c r="AQ95" i="3"/>
  <c r="Z95" i="3"/>
  <c r="BI95" i="3"/>
  <c r="AS95" i="3"/>
  <c r="AW95" i="3"/>
  <c r="BK95" i="3"/>
  <c r="BC95" i="3"/>
  <c r="AR95" i="3"/>
  <c r="AR96" i="3" s="1"/>
  <c r="G105" i="3" s="1"/>
  <c r="V95" i="3"/>
  <c r="AM95" i="3"/>
  <c r="AD95" i="3"/>
  <c r="AY95" i="3"/>
  <c r="AK95" i="3"/>
  <c r="AF95" i="3"/>
  <c r="AL95" i="3"/>
  <c r="BM95" i="3"/>
  <c r="AZ95" i="3"/>
  <c r="AT95" i="3"/>
  <c r="BO95" i="3"/>
  <c r="BH95" i="3"/>
  <c r="BR95" i="3"/>
  <c r="CO95" i="3"/>
  <c r="BT95" i="3"/>
  <c r="CC95" i="3"/>
  <c r="CI95" i="3"/>
  <c r="CF95" i="3"/>
  <c r="BB95" i="3"/>
  <c r="BJ95" i="3"/>
  <c r="BU95" i="3"/>
  <c r="CL95" i="3"/>
  <c r="BW95" i="3"/>
  <c r="BZ95" i="3"/>
  <c r="CA95" i="3"/>
  <c r="BX95" i="3"/>
  <c r="CN95" i="3"/>
  <c r="AG95" i="3"/>
  <c r="Y95" i="3"/>
  <c r="AA95" i="3"/>
  <c r="AE95" i="3"/>
  <c r="AB95" i="3"/>
  <c r="BA95" i="3"/>
  <c r="BE95" i="3"/>
  <c r="AV95" i="3"/>
  <c r="AP95" i="3"/>
  <c r="BG95" i="3"/>
  <c r="BN95" i="3"/>
  <c r="BQ95" i="3"/>
  <c r="BY95" i="3"/>
  <c r="CD95" i="3"/>
  <c r="CH95" i="3"/>
  <c r="CE95" i="3"/>
  <c r="CB95" i="3"/>
  <c r="BL6" i="3"/>
  <c r="BL95" i="3" s="1"/>
  <c r="K95" i="3"/>
  <c r="W95" i="3"/>
  <c r="L95" i="3"/>
  <c r="X95" i="3"/>
  <c r="X96" i="3" s="1"/>
  <c r="F101" i="3" s="1"/>
  <c r="E75" i="7" s="1"/>
  <c r="AC95" i="3"/>
  <c r="AI95" i="3"/>
  <c r="AH95" i="3"/>
  <c r="AU95" i="3"/>
  <c r="AJ95" i="3"/>
  <c r="AO95" i="3"/>
  <c r="AN95" i="3"/>
  <c r="BD95" i="3"/>
  <c r="AX95" i="3"/>
  <c r="BF95" i="3"/>
  <c r="BP95" i="3"/>
  <c r="BV95" i="3"/>
  <c r="BS95" i="3"/>
  <c r="CG95" i="3"/>
  <c r="CK95" i="3"/>
  <c r="CM95" i="3"/>
  <c r="CJ95" i="3"/>
  <c r="I123" i="2"/>
  <c r="H123" i="2"/>
  <c r="J123" i="2"/>
  <c r="AP107" i="2"/>
  <c r="H75" i="7" l="1"/>
  <c r="I75" i="7" s="1"/>
  <c r="E86" i="7"/>
  <c r="H86" i="7" s="1"/>
  <c r="I86" i="7" s="1"/>
  <c r="H166" i="7"/>
  <c r="I166" i="7" s="1"/>
  <c r="E169" i="7"/>
  <c r="H188" i="7"/>
  <c r="I188" i="7" s="1"/>
  <c r="D176" i="7"/>
  <c r="H176" i="7" s="1"/>
  <c r="I175" i="7" s="1"/>
  <c r="H164" i="7"/>
  <c r="I164" i="7" s="1"/>
  <c r="E167" i="7"/>
  <c r="H168" i="7"/>
  <c r="I168" i="7" s="1"/>
  <c r="E173" i="7"/>
  <c r="H173" i="7" s="1"/>
  <c r="I173" i="7" s="1"/>
  <c r="I62" i="5"/>
  <c r="E50" i="5"/>
  <c r="H50" i="5" s="1"/>
  <c r="I50" i="5" s="1"/>
  <c r="D178" i="5" s="1"/>
  <c r="H178" i="5" s="1"/>
  <c r="CB96" i="3"/>
  <c r="G113" i="3" s="1"/>
  <c r="BB96" i="3"/>
  <c r="L105" i="3" s="1"/>
  <c r="E168" i="5"/>
  <c r="H168" i="5" s="1"/>
  <c r="I168" i="5" s="1"/>
  <c r="E164" i="5"/>
  <c r="H164" i="5" s="1"/>
  <c r="I164" i="5" s="1"/>
  <c r="E51" i="5"/>
  <c r="H51" i="5" s="1"/>
  <c r="I51" i="5" s="1"/>
  <c r="D179" i="5" s="1"/>
  <c r="H179" i="5" s="1"/>
  <c r="DH96" i="3"/>
  <c r="E136" i="3" s="1"/>
  <c r="E75" i="5"/>
  <c r="E86" i="5" s="1"/>
  <c r="H86" i="5" s="1"/>
  <c r="I86" i="5" s="1"/>
  <c r="E166" i="5"/>
  <c r="H166" i="5" s="1"/>
  <c r="I166" i="5" s="1"/>
  <c r="H57" i="5"/>
  <c r="I57" i="5" s="1"/>
  <c r="H58" i="5"/>
  <c r="I58" i="5" s="1"/>
  <c r="H59" i="5"/>
  <c r="I59" i="5" s="1"/>
  <c r="H60" i="5"/>
  <c r="I60" i="5" s="1"/>
  <c r="H56" i="5"/>
  <c r="I56" i="5" s="1"/>
  <c r="D176" i="5"/>
  <c r="H176" i="5" s="1"/>
  <c r="H188" i="5"/>
  <c r="I188" i="5" s="1"/>
  <c r="CN96" i="3"/>
  <c r="M113" i="3" s="1"/>
  <c r="AL96" i="3"/>
  <c r="M101" i="3" s="1"/>
  <c r="AP96" i="3"/>
  <c r="F105" i="3" s="1"/>
  <c r="BZ96" i="3"/>
  <c r="F113" i="3" s="1"/>
  <c r="BF96" i="3"/>
  <c r="E109" i="3" s="1"/>
  <c r="AV96" i="3"/>
  <c r="I105" i="3" s="1"/>
  <c r="E79" i="7" s="1"/>
  <c r="BT96" i="3"/>
  <c r="L109" i="3" s="1"/>
  <c r="CJ96" i="3"/>
  <c r="K113" i="3" s="1"/>
  <c r="AX96" i="3"/>
  <c r="J105" i="3" s="1"/>
  <c r="E80" i="7" s="1"/>
  <c r="AJ96" i="3"/>
  <c r="L101" i="3" s="1"/>
  <c r="CH96" i="3"/>
  <c r="J113" i="3" s="1"/>
  <c r="BX96" i="3"/>
  <c r="E113" i="3" s="1"/>
  <c r="CL96" i="3"/>
  <c r="L113" i="3" s="1"/>
  <c r="AT96" i="3"/>
  <c r="H105" i="3" s="1"/>
  <c r="AF96" i="3"/>
  <c r="J101" i="3" s="1"/>
  <c r="AD96" i="3"/>
  <c r="I101" i="3" s="1"/>
  <c r="E78" i="7" s="1"/>
  <c r="BP96" i="3"/>
  <c r="J109" i="3" s="1"/>
  <c r="E113" i="7" s="1"/>
  <c r="AN96" i="3"/>
  <c r="E105" i="3" s="1"/>
  <c r="AH96" i="3"/>
  <c r="K101" i="3" s="1"/>
  <c r="AB96" i="3"/>
  <c r="H101" i="3" s="1"/>
  <c r="E77" i="7" s="1"/>
  <c r="BJ96" i="3"/>
  <c r="G109" i="3" s="1"/>
  <c r="E110" i="7" s="1"/>
  <c r="BH96" i="3"/>
  <c r="F109" i="3" s="1"/>
  <c r="E109" i="7" s="1"/>
  <c r="BN96" i="3"/>
  <c r="I109" i="3" s="1"/>
  <c r="E112" i="7" s="1"/>
  <c r="CF96" i="3"/>
  <c r="I113" i="3" s="1"/>
  <c r="E114" i="7" s="1"/>
  <c r="Z96" i="3"/>
  <c r="G101" i="3" s="1"/>
  <c r="E76" i="7" s="1"/>
  <c r="BV96" i="3"/>
  <c r="M109" i="3" s="1"/>
  <c r="BD96" i="3"/>
  <c r="M105" i="3" s="1"/>
  <c r="BL96" i="3"/>
  <c r="H109" i="3" s="1"/>
  <c r="E111" i="7" s="1"/>
  <c r="CD96" i="3"/>
  <c r="H113" i="3" s="1"/>
  <c r="BR96" i="3"/>
  <c r="K109" i="3" s="1"/>
  <c r="AZ96" i="3"/>
  <c r="K105" i="3" s="1"/>
  <c r="V96" i="3"/>
  <c r="E101" i="3" s="1"/>
  <c r="E74" i="7" s="1"/>
  <c r="K122" i="2"/>
  <c r="K121" i="2"/>
  <c r="K120" i="2"/>
  <c r="K119" i="2"/>
  <c r="K118" i="2"/>
  <c r="K117" i="2"/>
  <c r="K116" i="2"/>
  <c r="K115" i="2"/>
  <c r="G123" i="2"/>
  <c r="I126" i="2" s="1"/>
  <c r="E87" i="7" l="1"/>
  <c r="H87" i="7" s="1"/>
  <c r="I87" i="7" s="1"/>
  <c r="H76" i="7"/>
  <c r="I76" i="7" s="1"/>
  <c r="H110" i="7"/>
  <c r="I110" i="7" s="1"/>
  <c r="E120" i="7"/>
  <c r="H120" i="7" s="1"/>
  <c r="I120" i="7" s="1"/>
  <c r="H113" i="7"/>
  <c r="I113" i="7" s="1"/>
  <c r="E123" i="7"/>
  <c r="H123" i="7" s="1"/>
  <c r="I123" i="7" s="1"/>
  <c r="E91" i="7"/>
  <c r="H91" i="7" s="1"/>
  <c r="I91" i="7" s="1"/>
  <c r="H80" i="7"/>
  <c r="I80" i="7" s="1"/>
  <c r="H167" i="7"/>
  <c r="I167" i="7" s="1"/>
  <c r="E172" i="7"/>
  <c r="E174" i="7"/>
  <c r="H174" i="7" s="1"/>
  <c r="I174" i="7" s="1"/>
  <c r="H169" i="7"/>
  <c r="I169" i="7" s="1"/>
  <c r="H112" i="7"/>
  <c r="I112" i="7" s="1"/>
  <c r="E122" i="7"/>
  <c r="H122" i="7" s="1"/>
  <c r="I122" i="7" s="1"/>
  <c r="E116" i="7"/>
  <c r="H116" i="7" s="1"/>
  <c r="I116" i="7" s="1"/>
  <c r="H74" i="7"/>
  <c r="I74" i="7" s="1"/>
  <c r="E85" i="7"/>
  <c r="H85" i="7" s="1"/>
  <c r="I85" i="7" s="1"/>
  <c r="E83" i="7"/>
  <c r="H111" i="7"/>
  <c r="I111" i="7" s="1"/>
  <c r="E115" i="7"/>
  <c r="H115" i="7" s="1"/>
  <c r="I115" i="7" s="1"/>
  <c r="E121" i="7"/>
  <c r="H121" i="7" s="1"/>
  <c r="I121" i="7" s="1"/>
  <c r="H114" i="7"/>
  <c r="I114" i="7" s="1"/>
  <c r="E124" i="7"/>
  <c r="H124" i="7" s="1"/>
  <c r="I124" i="7" s="1"/>
  <c r="E118" i="7"/>
  <c r="H77" i="7"/>
  <c r="I77" i="7" s="1"/>
  <c r="E88" i="7"/>
  <c r="H88" i="7" s="1"/>
  <c r="I88" i="7" s="1"/>
  <c r="E81" i="7"/>
  <c r="H81" i="7" s="1"/>
  <c r="I81" i="7" s="1"/>
  <c r="E82" i="7"/>
  <c r="H82" i="7" s="1"/>
  <c r="I82" i="7" s="1"/>
  <c r="E89" i="7"/>
  <c r="H89" i="7" s="1"/>
  <c r="I89" i="7" s="1"/>
  <c r="H78" i="7"/>
  <c r="I78" i="7" s="1"/>
  <c r="H109" i="7"/>
  <c r="I109" i="7" s="1"/>
  <c r="E117" i="7"/>
  <c r="E119" i="7"/>
  <c r="H119" i="7" s="1"/>
  <c r="I119" i="7" s="1"/>
  <c r="E90" i="7"/>
  <c r="H90" i="7" s="1"/>
  <c r="I90" i="7" s="1"/>
  <c r="H79" i="7"/>
  <c r="I79" i="7" s="1"/>
  <c r="E84" i="7"/>
  <c r="I175" i="5"/>
  <c r="H75" i="5"/>
  <c r="I75" i="5" s="1"/>
  <c r="E173" i="5"/>
  <c r="H173" i="5" s="1"/>
  <c r="I173" i="5" s="1"/>
  <c r="E167" i="5"/>
  <c r="E172" i="5" s="1"/>
  <c r="E76" i="5"/>
  <c r="H76" i="5" s="1"/>
  <c r="I76" i="5" s="1"/>
  <c r="E110" i="5"/>
  <c r="H110" i="5" s="1"/>
  <c r="I110" i="5" s="1"/>
  <c r="E113" i="5"/>
  <c r="E123" i="5" s="1"/>
  <c r="H123" i="5" s="1"/>
  <c r="I123" i="5" s="1"/>
  <c r="E80" i="5"/>
  <c r="H80" i="5" s="1"/>
  <c r="I80" i="5" s="1"/>
  <c r="E112" i="5"/>
  <c r="E109" i="5"/>
  <c r="H109" i="5" s="1"/>
  <c r="I109" i="5" s="1"/>
  <c r="E79" i="5"/>
  <c r="E90" i="5" s="1"/>
  <c r="H90" i="5" s="1"/>
  <c r="I90" i="5" s="1"/>
  <c r="H45" i="5"/>
  <c r="I45" i="5" s="1"/>
  <c r="E111" i="5"/>
  <c r="E114" i="5"/>
  <c r="E169" i="5"/>
  <c r="E174" i="5" s="1"/>
  <c r="H174" i="5" s="1"/>
  <c r="I174" i="5" s="1"/>
  <c r="J134" i="3"/>
  <c r="J131" i="3"/>
  <c r="E78" i="5"/>
  <c r="E132" i="3"/>
  <c r="E133" i="3"/>
  <c r="J133" i="3"/>
  <c r="E134" i="3"/>
  <c r="E77" i="5"/>
  <c r="E131" i="3"/>
  <c r="J132" i="3"/>
  <c r="E102" i="3"/>
  <c r="E74" i="5"/>
  <c r="E106" i="3"/>
  <c r="E110" i="3"/>
  <c r="E114" i="3"/>
  <c r="K114" i="2"/>
  <c r="K123" i="2" s="1"/>
  <c r="H172" i="7" l="1"/>
  <c r="I172" i="7" s="1"/>
  <c r="D185" i="7"/>
  <c r="H185" i="7" s="1"/>
  <c r="I184" i="7" s="1"/>
  <c r="E93" i="7"/>
  <c r="H93" i="7" s="1"/>
  <c r="I93" i="7" s="1"/>
  <c r="H84" i="7"/>
  <c r="I84" i="7" s="1"/>
  <c r="E95" i="7"/>
  <c r="E125" i="7"/>
  <c r="H117" i="7"/>
  <c r="I117" i="7" s="1"/>
  <c r="E131" i="7"/>
  <c r="H131" i="7" s="1"/>
  <c r="I131" i="7" s="1"/>
  <c r="E129" i="7"/>
  <c r="H129" i="7" s="1"/>
  <c r="I129" i="7" s="1"/>
  <c r="E130" i="7"/>
  <c r="H130" i="7" s="1"/>
  <c r="I130" i="7" s="1"/>
  <c r="E127" i="7"/>
  <c r="H118" i="7"/>
  <c r="I118" i="7" s="1"/>
  <c r="E132" i="7"/>
  <c r="H132" i="7" s="1"/>
  <c r="I132" i="7" s="1"/>
  <c r="E92" i="7"/>
  <c r="H92" i="7" s="1"/>
  <c r="I92" i="7" s="1"/>
  <c r="E94" i="7"/>
  <c r="H83" i="7"/>
  <c r="I83" i="7" s="1"/>
  <c r="H78" i="5"/>
  <c r="I78" i="5" s="1"/>
  <c r="E82" i="5"/>
  <c r="H82" i="5" s="1"/>
  <c r="I82" i="5" s="1"/>
  <c r="H111" i="5"/>
  <c r="I111" i="5" s="1"/>
  <c r="E115" i="5"/>
  <c r="H115" i="5" s="1"/>
  <c r="I115" i="5" s="1"/>
  <c r="E122" i="5"/>
  <c r="H122" i="5" s="1"/>
  <c r="I122" i="5" s="1"/>
  <c r="E116" i="5"/>
  <c r="H116" i="5" s="1"/>
  <c r="I116" i="5" s="1"/>
  <c r="H77" i="5"/>
  <c r="I77" i="5" s="1"/>
  <c r="E81" i="5"/>
  <c r="H81" i="5" s="1"/>
  <c r="I81" i="5" s="1"/>
  <c r="E121" i="5"/>
  <c r="H121" i="5" s="1"/>
  <c r="I121" i="5" s="1"/>
  <c r="E87" i="5"/>
  <c r="H87" i="5" s="1"/>
  <c r="I87" i="5" s="1"/>
  <c r="E120" i="5"/>
  <c r="H120" i="5" s="1"/>
  <c r="I120" i="5" s="1"/>
  <c r="H112" i="5"/>
  <c r="I112" i="5" s="1"/>
  <c r="H114" i="5"/>
  <c r="I114" i="5" s="1"/>
  <c r="E124" i="5"/>
  <c r="H124" i="5" s="1"/>
  <c r="I124" i="5" s="1"/>
  <c r="E84" i="5"/>
  <c r="H169" i="5"/>
  <c r="I169" i="5" s="1"/>
  <c r="E91" i="5"/>
  <c r="H91" i="5" s="1"/>
  <c r="I91" i="5" s="1"/>
  <c r="H79" i="5"/>
  <c r="I79" i="5" s="1"/>
  <c r="H113" i="5"/>
  <c r="I113" i="5" s="1"/>
  <c r="H167" i="5"/>
  <c r="I167" i="5" s="1"/>
  <c r="E117" i="5"/>
  <c r="E119" i="5"/>
  <c r="H119" i="5" s="1"/>
  <c r="I119" i="5" s="1"/>
  <c r="E118" i="5"/>
  <c r="E130" i="5" s="1"/>
  <c r="H130" i="5" s="1"/>
  <c r="I130" i="5" s="1"/>
  <c r="E88" i="5"/>
  <c r="H88" i="5" s="1"/>
  <c r="I88" i="5" s="1"/>
  <c r="H172" i="5"/>
  <c r="I172" i="5" s="1"/>
  <c r="D185" i="5"/>
  <c r="H185" i="5" s="1"/>
  <c r="I184" i="5" s="1"/>
  <c r="E89" i="5"/>
  <c r="H89" i="5" s="1"/>
  <c r="I89" i="5" s="1"/>
  <c r="E83" i="5"/>
  <c r="E94" i="5" s="1"/>
  <c r="E100" i="5" s="1"/>
  <c r="H100" i="5" s="1"/>
  <c r="E116" i="3"/>
  <c r="H74" i="5"/>
  <c r="I74" i="5" s="1"/>
  <c r="E85" i="5"/>
  <c r="H85" i="5" s="1"/>
  <c r="I85" i="5" s="1"/>
  <c r="E100" i="7" l="1"/>
  <c r="H100" i="7" s="1"/>
  <c r="H94" i="7"/>
  <c r="I94" i="7" s="1"/>
  <c r="E128" i="7"/>
  <c r="H128" i="7" s="1"/>
  <c r="I128" i="7" s="1"/>
  <c r="H127" i="7"/>
  <c r="I127" i="7" s="1"/>
  <c r="E126" i="7"/>
  <c r="H126" i="7" s="1"/>
  <c r="I126" i="7" s="1"/>
  <c r="H125" i="7"/>
  <c r="I125" i="7" s="1"/>
  <c r="E15" i="5"/>
  <c r="E15" i="7"/>
  <c r="E104" i="7"/>
  <c r="H104" i="7" s="1"/>
  <c r="H95" i="7"/>
  <c r="I95" i="7" s="1"/>
  <c r="H117" i="5"/>
  <c r="I117" i="5" s="1"/>
  <c r="E129" i="5"/>
  <c r="H129" i="5" s="1"/>
  <c r="I129" i="5" s="1"/>
  <c r="H94" i="5"/>
  <c r="I94" i="5" s="1"/>
  <c r="H84" i="5"/>
  <c r="I84" i="5" s="1"/>
  <c r="E95" i="5"/>
  <c r="E127" i="5"/>
  <c r="H127" i="5" s="1"/>
  <c r="I127" i="5" s="1"/>
  <c r="H118" i="5"/>
  <c r="I118" i="5" s="1"/>
  <c r="E93" i="5"/>
  <c r="H93" i="5" s="1"/>
  <c r="I93" i="5" s="1"/>
  <c r="E125" i="5"/>
  <c r="E126" i="5" s="1"/>
  <c r="H126" i="5" s="1"/>
  <c r="I126" i="5" s="1"/>
  <c r="E132" i="5"/>
  <c r="E131" i="5"/>
  <c r="E92" i="5"/>
  <c r="H92" i="5" s="1"/>
  <c r="I92" i="5" s="1"/>
  <c r="H83" i="5"/>
  <c r="I83" i="5" s="1"/>
  <c r="E43" i="7" l="1"/>
  <c r="H15" i="7"/>
  <c r="I15" i="7" s="1"/>
  <c r="H96" i="7"/>
  <c r="I96" i="7" s="1"/>
  <c r="E128" i="5"/>
  <c r="H128" i="5" s="1"/>
  <c r="I128" i="5" s="1"/>
  <c r="H131" i="5"/>
  <c r="I131" i="5" s="1"/>
  <c r="H132" i="5"/>
  <c r="I132" i="5" s="1"/>
  <c r="H95" i="5"/>
  <c r="I95" i="5" s="1"/>
  <c r="E104" i="5"/>
  <c r="H104" i="5" s="1"/>
  <c r="H96" i="5" s="1"/>
  <c r="I96" i="5" s="1"/>
  <c r="H125" i="5"/>
  <c r="I125" i="5" s="1"/>
  <c r="E43" i="5"/>
  <c r="E44" i="5" s="1"/>
  <c r="H44" i="5" s="1"/>
  <c r="I44" i="5" s="1"/>
  <c r="C498" i="6"/>
  <c r="H498" i="6" s="1"/>
  <c r="D206" i="7" s="1"/>
  <c r="H43" i="7" l="1"/>
  <c r="I43" i="7" s="1"/>
  <c r="E44" i="7"/>
  <c r="H44" i="7" s="1"/>
  <c r="I44" i="7" s="1"/>
  <c r="H206" i="7"/>
  <c r="I206" i="7" s="1"/>
  <c r="D207" i="7"/>
  <c r="H207" i="7" s="1"/>
  <c r="I207" i="7" s="1"/>
  <c r="H43" i="5"/>
  <c r="I43" i="5" s="1"/>
  <c r="H15" i="5"/>
  <c r="I15" i="5" s="1"/>
  <c r="D206" i="5"/>
  <c r="D207" i="5" s="1"/>
  <c r="H207" i="5" s="1"/>
  <c r="I207" i="5" s="1"/>
  <c r="H206" i="5" l="1"/>
  <c r="I206" i="5" s="1"/>
</calcChain>
</file>

<file path=xl/sharedStrings.xml><?xml version="1.0" encoding="utf-8"?>
<sst xmlns="http://schemas.openxmlformats.org/spreadsheetml/2006/main" count="4096" uniqueCount="694">
  <si>
    <t>H</t>
  </si>
  <si>
    <t>ESTADO</t>
  </si>
  <si>
    <t>BUZON</t>
  </si>
  <si>
    <t>COTA DE TAPA</t>
  </si>
  <si>
    <t>COTA DE FONDO</t>
  </si>
  <si>
    <t>1&lt;H&lt;=1.25</t>
  </si>
  <si>
    <t>H&lt;=1.50</t>
  </si>
  <si>
    <t>H&lt;=1.75</t>
  </si>
  <si>
    <t>H&lt;=2.00</t>
  </si>
  <si>
    <t>H&lt;=2.50</t>
  </si>
  <si>
    <t>H&lt;=3.00</t>
  </si>
  <si>
    <t>H&lt;=3.50</t>
  </si>
  <si>
    <t>H&lt;=4.00</t>
  </si>
  <si>
    <t>H&gt;6.01</t>
  </si>
  <si>
    <r>
      <rPr>
        <sz val="10"/>
        <color rgb="FFFF0000"/>
        <rFont val="Arial"/>
        <family val="2"/>
      </rPr>
      <t>R</t>
    </r>
    <r>
      <rPr>
        <sz val="8"/>
        <rFont val="Arial"/>
        <family val="2"/>
      </rPr>
      <t>ehabilitar</t>
    </r>
  </si>
  <si>
    <r>
      <rPr>
        <sz val="10"/>
        <color rgb="FFFF0000"/>
        <rFont val="Arial"/>
        <family val="2"/>
      </rPr>
      <t>P</t>
    </r>
    <r>
      <rPr>
        <sz val="8"/>
        <rFont val="Arial"/>
        <family val="2"/>
      </rPr>
      <t>royectar</t>
    </r>
  </si>
  <si>
    <t>BUZONES REHABILITADOS</t>
  </si>
  <si>
    <t>BUZONES EXISTENTE</t>
  </si>
  <si>
    <t>BUZONES A ANULAR</t>
  </si>
  <si>
    <t>BUZONES PROYECTADOS</t>
  </si>
  <si>
    <t>TOTAL</t>
  </si>
  <si>
    <t>Altura de buzón</t>
  </si>
  <si>
    <t>Bz. Rehabilitado 
(Demolido y reconstruido)</t>
  </si>
  <si>
    <t>Bz. A Anular</t>
  </si>
  <si>
    <t>Bz. Reubicado 
(Proyectado porque el Bz. Existente está mal ubicado)</t>
  </si>
  <si>
    <t>1.00 - 1.25</t>
  </si>
  <si>
    <t>1.25 - 1.50</t>
  </si>
  <si>
    <t>1.51 - 1.75</t>
  </si>
  <si>
    <t>1.76 - 2.00</t>
  </si>
  <si>
    <t>2.00 - 2.50</t>
  </si>
  <si>
    <t>2.50 - 3.00</t>
  </si>
  <si>
    <t>3.00 - 3.50</t>
  </si>
  <si>
    <t>3.50 - 4.00</t>
  </si>
  <si>
    <t>5.00 - 6.00</t>
  </si>
  <si>
    <t>METRADO DE ZANJAS Y TUBERIAS EN REDES</t>
  </si>
  <si>
    <t>Tramo</t>
  </si>
  <si>
    <t>BZ 1</t>
  </si>
  <si>
    <t>BZ 2</t>
  </si>
  <si>
    <t>COTA 1</t>
  </si>
  <si>
    <t>H1</t>
  </si>
  <si>
    <t>COTA 2</t>
  </si>
  <si>
    <t>H2</t>
  </si>
  <si>
    <t>H prom.</t>
  </si>
  <si>
    <t>Longitud Horizontal</t>
  </si>
  <si>
    <t>Longitud Inclinada</t>
  </si>
  <si>
    <t>Longitud Zanja</t>
  </si>
  <si>
    <t>Longitud Tubería</t>
  </si>
  <si>
    <t>Diametro
mm</t>
  </si>
  <si>
    <t>Material</t>
  </si>
  <si>
    <t>Estado (R/P/E)</t>
  </si>
  <si>
    <t>Suelo (Ro/No)</t>
  </si>
  <si>
    <t>Pavimento (R/F/M/V/A/G)</t>
  </si>
  <si>
    <t>Excavación
(E/M)</t>
  </si>
  <si>
    <t>Bz-1</t>
  </si>
  <si>
    <t>Bz-2</t>
  </si>
  <si>
    <t>Bz-3</t>
  </si>
  <si>
    <t>Bz-4</t>
  </si>
  <si>
    <t>Bz-5</t>
  </si>
  <si>
    <t>Bz-6</t>
  </si>
  <si>
    <t>Bz-7</t>
  </si>
  <si>
    <t>Bz-8</t>
  </si>
  <si>
    <t>Bz-9</t>
  </si>
  <si>
    <t>Bz-10</t>
  </si>
  <si>
    <t>Bz-11</t>
  </si>
  <si>
    <t>Bz-12</t>
  </si>
  <si>
    <t>Bz-13</t>
  </si>
  <si>
    <t>Bz-14</t>
  </si>
  <si>
    <t>Bz-15</t>
  </si>
  <si>
    <t>Bz-16</t>
  </si>
  <si>
    <t>Bz-17</t>
  </si>
  <si>
    <t>Bz-18</t>
  </si>
  <si>
    <t>Bz-19</t>
  </si>
  <si>
    <t>Bz-20</t>
  </si>
  <si>
    <t>Bz-21</t>
  </si>
  <si>
    <t>Bz-23</t>
  </si>
  <si>
    <t>Bz-24</t>
  </si>
  <si>
    <t>Bz-25</t>
  </si>
  <si>
    <t>Bz-26</t>
  </si>
  <si>
    <t>Bz-27</t>
  </si>
  <si>
    <t>Bz-28</t>
  </si>
  <si>
    <t>Bz-30</t>
  </si>
  <si>
    <t>Bz-31</t>
  </si>
  <si>
    <t>Bz-32</t>
  </si>
  <si>
    <t>Bz-33</t>
  </si>
  <si>
    <t>Bz-34</t>
  </si>
  <si>
    <t>Bz-36</t>
  </si>
  <si>
    <t>Bz-39</t>
  </si>
  <si>
    <t>Bz-41</t>
  </si>
  <si>
    <t>Bz-42</t>
  </si>
  <si>
    <t>Bz-47</t>
  </si>
  <si>
    <t>Bz-48</t>
  </si>
  <si>
    <t>Bz-49</t>
  </si>
  <si>
    <t>Bz-50</t>
  </si>
  <si>
    <t>Bz-52</t>
  </si>
  <si>
    <t>Bz-53</t>
  </si>
  <si>
    <t>Bz-54</t>
  </si>
  <si>
    <t>Bz-55</t>
  </si>
  <si>
    <t>Bz-56</t>
  </si>
  <si>
    <t>Bz-57</t>
  </si>
  <si>
    <t>Bz-58</t>
  </si>
  <si>
    <t>Bz-59</t>
  </si>
  <si>
    <t>Bz-61</t>
  </si>
  <si>
    <t>Bz-62</t>
  </si>
  <si>
    <t>Bz-63</t>
  </si>
  <si>
    <t>Bz-64</t>
  </si>
  <si>
    <t>Bz-65</t>
  </si>
  <si>
    <t>Bz-66</t>
  </si>
  <si>
    <t>Bz-67</t>
  </si>
  <si>
    <t>Bz-68</t>
  </si>
  <si>
    <t>Bz-69</t>
  </si>
  <si>
    <t>Bz-70</t>
  </si>
  <si>
    <t>Bz-71</t>
  </si>
  <si>
    <t>Bz-72</t>
  </si>
  <si>
    <t>Bz-73</t>
  </si>
  <si>
    <t>Bz-74</t>
  </si>
  <si>
    <t>Bz-78</t>
  </si>
  <si>
    <t>Bz-79</t>
  </si>
  <si>
    <t>Bz-80</t>
  </si>
  <si>
    <t>Bz-90</t>
  </si>
  <si>
    <t>Bz-94</t>
  </si>
  <si>
    <t>HDPE</t>
  </si>
  <si>
    <t>PVC</t>
  </si>
  <si>
    <t>R</t>
  </si>
  <si>
    <t>P</t>
  </si>
  <si>
    <r>
      <rPr>
        <sz val="8"/>
        <color rgb="FFFF0000"/>
        <rFont val="Arial"/>
        <family val="2"/>
      </rPr>
      <t xml:space="preserve">a </t>
    </r>
    <r>
      <rPr>
        <sz val="8"/>
        <color theme="1" tint="4.9989318521683403E-2"/>
        <rFont val="Arial"/>
        <family val="2"/>
      </rPr>
      <t>S</t>
    </r>
    <r>
      <rPr>
        <sz val="8"/>
        <color rgb="FFFF0000"/>
        <rFont val="Arial"/>
        <family val="2"/>
      </rPr>
      <t>ellar</t>
    </r>
  </si>
  <si>
    <r>
      <t xml:space="preserve">a </t>
    </r>
    <r>
      <rPr>
        <sz val="8"/>
        <color theme="1" tint="4.9989318521683403E-2"/>
        <rFont val="Arial"/>
        <family val="2"/>
      </rPr>
      <t>A</t>
    </r>
    <r>
      <rPr>
        <sz val="8"/>
        <color rgb="FFFF0000"/>
        <rFont val="Arial"/>
        <family val="2"/>
      </rPr>
      <t>nular</t>
    </r>
  </si>
  <si>
    <t>A</t>
  </si>
  <si>
    <t>S</t>
  </si>
  <si>
    <t>BE-35</t>
  </si>
  <si>
    <r>
      <rPr>
        <sz val="8"/>
        <color rgb="FFFF0000"/>
        <rFont val="Arial"/>
        <family val="2"/>
      </rPr>
      <t xml:space="preserve">a </t>
    </r>
    <r>
      <rPr>
        <sz val="10"/>
        <color theme="1" tint="4.9989318521683403E-2"/>
        <rFont val="Arial"/>
        <family val="2"/>
      </rPr>
      <t>S</t>
    </r>
    <r>
      <rPr>
        <sz val="8"/>
        <color rgb="FFFF0000"/>
        <rFont val="Arial"/>
        <family val="2"/>
      </rPr>
      <t>ellar</t>
    </r>
  </si>
  <si>
    <r>
      <t xml:space="preserve">a </t>
    </r>
    <r>
      <rPr>
        <sz val="10"/>
        <color theme="1" tint="4.9989318521683403E-2"/>
        <rFont val="Arial"/>
        <family val="2"/>
      </rPr>
      <t>A</t>
    </r>
    <r>
      <rPr>
        <sz val="8"/>
        <color rgb="FFFF0000"/>
        <rFont val="Arial"/>
        <family val="2"/>
      </rPr>
      <t>nular</t>
    </r>
  </si>
  <si>
    <t>Bz. A Sellar</t>
  </si>
  <si>
    <t>METRADO TOTAL</t>
  </si>
  <si>
    <t>No</t>
  </si>
  <si>
    <t>1.25&lt;H&lt;=1.50</t>
  </si>
  <si>
    <t>1.50&lt;H&lt;=1.75</t>
  </si>
  <si>
    <t>1.75&lt;H&lt;=2.00</t>
  </si>
  <si>
    <t>2.00&lt;H&lt;=2.50</t>
  </si>
  <si>
    <t>2.50&lt;H&lt;=3.00</t>
  </si>
  <si>
    <t>3.00&lt;H&lt;=3.50</t>
  </si>
  <si>
    <t>3.50&lt;H&lt;=4.00</t>
  </si>
  <si>
    <t>5.00&lt;H&lt;=6.00</t>
  </si>
  <si>
    <t>ZANJAS EN TERRENO NORMAL CON EQUIPO DN 300-350 MM</t>
  </si>
  <si>
    <t>ZANJAS EN TERRENO NORMAL CON EQUIPO DN 200-250 MM</t>
  </si>
  <si>
    <t>ZANJAS EN TERRENO NORMAL A MANO DN 200-250 MM</t>
  </si>
  <si>
    <t>ZANJAS EN TERRENO NORMAL A MANO DN 300-350 MM</t>
  </si>
  <si>
    <t>E</t>
  </si>
  <si>
    <t>F</t>
  </si>
  <si>
    <t>V</t>
  </si>
  <si>
    <t>M</t>
  </si>
  <si>
    <t>ZANJAS EN TERRENO NORMAL CON EQUIPO DN 200-250MM</t>
  </si>
  <si>
    <t>H&lt;=1.25</t>
  </si>
  <si>
    <t>H&lt;=5.00</t>
  </si>
  <si>
    <t>TOTAL 1</t>
  </si>
  <si>
    <t>ZANJAS EN TERRENO NORMAL CON EQUIPO DN 300-350MM</t>
  </si>
  <si>
    <t>TOTAL 2</t>
  </si>
  <si>
    <t>ZANJAS EN TERRENO NORMAL A MANO DN 200-250MM</t>
  </si>
  <si>
    <t>TOTAL 3</t>
  </si>
  <si>
    <t>ZANJAS EN TERRENO NORMAL A MANO DN 300-350MM</t>
  </si>
  <si>
    <t>TOTAL 4</t>
  </si>
  <si>
    <t>METRADO DE EXCAVACION DE ZANJA</t>
  </si>
  <si>
    <t>001 REDES Y CONEXIONES DOMICILIARIAS DE ALCANTARILLADO</t>
  </si>
  <si>
    <t>Item</t>
  </si>
  <si>
    <t>Descripcion</t>
  </si>
  <si>
    <t>Und.</t>
  </si>
  <si>
    <t>Nº veces</t>
  </si>
  <si>
    <t>Largo</t>
  </si>
  <si>
    <t>Ancho</t>
  </si>
  <si>
    <t>Alto</t>
  </si>
  <si>
    <t>Parcial</t>
  </si>
  <si>
    <t>Total</t>
  </si>
  <si>
    <t>REDES DE ALCANTARILLADO</t>
  </si>
  <si>
    <t>OBRAS PROVISIONALES</t>
  </si>
  <si>
    <t>und</t>
  </si>
  <si>
    <t>Cartel de identificación de la obra de   3,60 m x 1,80 m</t>
  </si>
  <si>
    <t>Movilización de campamentos,maquinarias, herramientas para la obra</t>
  </si>
  <si>
    <t>Servicio de agua potable para los campamentos (estimado global)</t>
  </si>
  <si>
    <t>mes</t>
  </si>
  <si>
    <t>Servicio de baño portátil  (inodoro  y  lavadero)</t>
  </si>
  <si>
    <t>Limpieza permanente de la obra</t>
  </si>
  <si>
    <t>glb</t>
  </si>
  <si>
    <t>Riego de zona de trabajo para mitigar la contaminación -polvo (con autorización de uso de grifo)</t>
  </si>
  <si>
    <t>m</t>
  </si>
  <si>
    <t>PLAN SEGURIDAD Y SALUD OCUPACIONAL</t>
  </si>
  <si>
    <t>Plan de Seguridad y Salud Ocupacional</t>
  </si>
  <si>
    <t>Subcontratos</t>
  </si>
  <si>
    <t>Cinta plástica señalizadora para límite  de seguridad de obra-SEDAPAL</t>
  </si>
  <si>
    <t>TRABAJOS PRELIMINARES</t>
  </si>
  <si>
    <t>km</t>
  </si>
  <si>
    <t>Replanteo final de la obra, para líneas  redes con estación total</t>
  </si>
  <si>
    <t>Desvío de aguas servidas incl. bombeo y  alquiler de tubo p/mantenim. servicio DN 200-250 mm</t>
  </si>
  <si>
    <t>DEMOLICIONES</t>
  </si>
  <si>
    <t>PAVIMENTOS, VEREDAS Y SARDINELES</t>
  </si>
  <si>
    <t>m2</t>
  </si>
  <si>
    <t>Corte+rotura, ED y reposición de vereda  rígida f'c 175 kg/cm2 de 10 cm espesor</t>
  </si>
  <si>
    <t>Reposición de jardines</t>
  </si>
  <si>
    <t>BUZONES</t>
  </si>
  <si>
    <t>m3</t>
  </si>
  <si>
    <t>Para buzon hasta 1.25m de profundidad</t>
  </si>
  <si>
    <t>D=1200 mm</t>
  </si>
  <si>
    <t>Para buzon de 1.51-1.75 m profundidad</t>
  </si>
  <si>
    <t>Para buzon de 1.76-2.00 m profundidad</t>
  </si>
  <si>
    <t>MOVIMIENTO DE TIERRAS</t>
  </si>
  <si>
    <t>EXCAVACION CON EQUIPO</t>
  </si>
  <si>
    <t>Excavac. zanja (máq.) p/tub. terr-normal DN  200 -  250  de 1,01 m a 1,25 m prof.</t>
  </si>
  <si>
    <t>Excavac. zanja (máq.) p/tub. terr-normal DN  200 -  250  de 1,26 m a 1,50 m prof.</t>
  </si>
  <si>
    <t>Excavac. zanja (máq.) p/tub. terr-normal DN  200 -  250  de 1,51 m a 1,75 m prof.</t>
  </si>
  <si>
    <t>Excavac. zanja (máq.) p/tub. terr-normal DN  200 -  250  de 1,76 m a 2,00 m prof.</t>
  </si>
  <si>
    <t>Excavac. zanja (máq.) p/tub. terr-normal DN  200 -  250  de 2,01 m a 2,50 m prof.</t>
  </si>
  <si>
    <t>Excavac. zanja (máq.) p/tub. terr-normal DN  300 -  350  de 2,01 m a 2,50 m prof.</t>
  </si>
  <si>
    <t>Excavac. zanja (máq.) p/tub. terr-normal DN  300 -  350  de 2,51 m a 3,00 m prof.</t>
  </si>
  <si>
    <t>Entibado de madera para linea hasta 2.00 m de prof.</t>
  </si>
  <si>
    <t>Entibado de madera para linea hasta 3.00 m de prof.</t>
  </si>
  <si>
    <t>Refine y nivel de zanja terr-normal para tub. DN  200 -  250  para toda profund.</t>
  </si>
  <si>
    <t>Refine y nivel de zanja terr-normal para tub. DN  300 -  350  para toda profund.</t>
  </si>
  <si>
    <t>Relleno comp.zanja(pulso) p/tub t-normal DN  200 -  250  de 1,01 m a 1,25 m prof.</t>
  </si>
  <si>
    <t>Relleno comp.zanja(pulso) p/tub t-normal DN  200 -  250  de 1,26 m a 1,50 m prof.</t>
  </si>
  <si>
    <t>Relleno comp.zanja(pulso) p/tub t-normal DN  200 -  250  de 1,51 m a 1,75 m prof.</t>
  </si>
  <si>
    <t>Relleno comp.zanja(pulso) p/tub t-normal DN  200 -  250  de 1,76 m a 2,00 m prof.</t>
  </si>
  <si>
    <t>Relleno comp.zanja(pulso) p/tub t-normal DN  200 -  250  de 2,01 m a 2,50 m prof.</t>
  </si>
  <si>
    <t>Relleno comp.zanja(pulso) p/tub t-normal DN  200 -  250  de 2,51 m a 3,00 m prof.</t>
  </si>
  <si>
    <t>Relleno comp.zanja(pulso) p/tub t-normal DN  300 -  350  de 2,01 m a 2,50 m prof.</t>
  </si>
  <si>
    <t>Relleno comp.zanja(pulso) p/tub t-normal DN  300 -  350  de 2,51 m a 3,00 m prof.</t>
  </si>
  <si>
    <t>Elimin. desmonte(carg+v) t-normal D=20km p/tub. DN  200 -  250  para toda prof.</t>
  </si>
  <si>
    <t>Elimin. desmonte(carg+v) t-normal D=20km p/tub. DN  300 -  350  para toda prof.</t>
  </si>
  <si>
    <t>Desmontaje y retiro de tuberia CSN  DN 200 - 250 mm</t>
  </si>
  <si>
    <t>Area Exterior</t>
  </si>
  <si>
    <t>Radio=</t>
  </si>
  <si>
    <t>Area=</t>
  </si>
  <si>
    <t>Area Interior</t>
  </si>
  <si>
    <t>Mas porcentaje de espacios vacios</t>
  </si>
  <si>
    <t>EXCAVACION A MANO EN PASAJES ANGOSTOS CON INTERFERENCIAS</t>
  </si>
  <si>
    <t>Proteccion de redes existentes</t>
  </si>
  <si>
    <t>Excav. zanja (pulso) p/tub. terr-normal  DN  200 -  250  de 1,26 m a 1,50 m prof.</t>
  </si>
  <si>
    <t>Excav. zanja (pulso) p/tub. terr-normal  DN  200 -  250  de 1,51 m a 1,75 m prof.</t>
  </si>
  <si>
    <t>Excav. zanja (pulso) p/tub. terr-normal  DN  200 -  250  de 1,76 m a 2,00 m prof.</t>
  </si>
  <si>
    <t>Excav. zanja (pulso) p/tub. terr-normal  DN  200 -  250  de 2,01 m a 2,50 m prof.</t>
  </si>
  <si>
    <t>Acarreo de desmonte (pulso) p/tub.DN 200 - 250 mm  t. normal en zona aledaña durante la excavación</t>
  </si>
  <si>
    <t>Acarreo de desmonte (pulso) p/tub.DN 200 - 250 mm  t. normal en zona aledaña para el relleno</t>
  </si>
  <si>
    <t>RETIRO Y REPOSICION DE CAJAS DE AGUA POR INTERFERENCIA CON LA EXCAVACION EN PASAJES ANGOSTOS</t>
  </si>
  <si>
    <t>Demolición de caja y tapa en mal estado, de conex. dom. agua (incl. acomodo del desmonte para su eliminación)</t>
  </si>
  <si>
    <t xml:space="preserve">Acarreo de desmonte producto de la demolicion </t>
  </si>
  <si>
    <t>Muros</t>
  </si>
  <si>
    <t>Losa</t>
  </si>
  <si>
    <t>Zanjas</t>
  </si>
  <si>
    <t>Cajas</t>
  </si>
  <si>
    <t>Excav. zanja (pulso) p/tub. terr-normal  DN   15 -   40  de 0,60 m a 1,00 m prof.</t>
  </si>
  <si>
    <t>Refine y nivel de zanja terr-normal para tub. DN   15 -   40  para toda profund.</t>
  </si>
  <si>
    <t>Relleno comp.zanja(pulso) p/tub t-normal DN   15 -   40  de 0,60 m a 1,00 m prof.</t>
  </si>
  <si>
    <t>Elimin. desmonte(carg+v) t-normal D=20km p/tub. DN   15 -   40  para toda prof.</t>
  </si>
  <si>
    <t>Tubería de PVC-U SP PN 10  DN  15 incl.  elemento unión + 2% desperdicios</t>
  </si>
  <si>
    <t>Instalación de tubería PVC p/agua potab. DN   15 -  20  incluye prueba hidráulica</t>
  </si>
  <si>
    <t>Prueba hidráulica de tubería agua para potable (incl. desinfección) DN   15 -  20</t>
  </si>
  <si>
    <t>Tubería de PVC-SAP  DN  75mm + 2% desperdicios</t>
  </si>
  <si>
    <t>Instalación de tubería PVC-SAP para forro de conexión de agua potable_x000D_</t>
  </si>
  <si>
    <t>Suministro de caja, marco y tapa termoplastica con seguro (CTPS-E-004:2005 ó su actualización), para medidor DN  15 - 20 mm</t>
  </si>
  <si>
    <t>Instalación de caja y tapa para medidor  DN  15  a   20  en terreno normal</t>
  </si>
  <si>
    <t>SUMINISTRO E INSTALACION DE TUBERIAS</t>
  </si>
  <si>
    <t>PRUEBAS HIDRAULICAS Y DE RESISTENCIA</t>
  </si>
  <si>
    <t>Prueba hidráulica de tubería p/desague   DN  200</t>
  </si>
  <si>
    <t>Prueba hidráulica de tubería p/desague   DN  250</t>
  </si>
  <si>
    <t>Prueba hidráulica de tubería p/desague   DN  300</t>
  </si>
  <si>
    <t>Prueba de calidad del concreto (prueba a la compresión)</t>
  </si>
  <si>
    <t>Buzones</t>
  </si>
  <si>
    <t>cada</t>
  </si>
  <si>
    <t>Redes</t>
  </si>
  <si>
    <t>Veredas</t>
  </si>
  <si>
    <t>Conexiones Alcantarillado</t>
  </si>
  <si>
    <t>Prueba de compactacion de suelos (proctor modificado y de control de compactacion - densidad de campo)</t>
  </si>
  <si>
    <t>(*)Se realizará una prueba de de compactacion de suelo cada 50ml de tuberia instalada</t>
  </si>
  <si>
    <t>Buzón I t. normal a máq.  1,01 a 1,25 m  profundidad (encof. exter e inter) C-PV</t>
  </si>
  <si>
    <t>Buzón I t. normal a máq.  1,26 a 1,50 m  profundidad (encof. exter e inter) C-PV</t>
  </si>
  <si>
    <t>Buzón I t. normal a máq.  1,51 a 1,75 m  profundidad (encof. exter e inter) C-PV</t>
  </si>
  <si>
    <t>Buzón I t. normal a máq.  1,76 a 2,00 m  profundidad (encof. exter e inter) C-PV</t>
  </si>
  <si>
    <t>Buzón I t. normal a máq.  2,01 a 2,50 m  profundidad (encof. exter e inter) C-PV</t>
  </si>
  <si>
    <t>Empalmes de tuberías DN  200  a  250     buzón existente en servicio</t>
  </si>
  <si>
    <t>Pasamuro de polietileno para tubería de HDPE de DN 200 mm (Union de tub HDPE 200 a buzon)</t>
  </si>
  <si>
    <t>Pasamuro de polietileno para tubería de HDPE de DN 250 mm (Union de tub HDPE 250 a buzon)</t>
  </si>
  <si>
    <t>CONEXIONES DOMICILIARIAS DE ALCANTARILLADO</t>
  </si>
  <si>
    <t>Trazo y replanteo inicial para conexión  domiciliaria</t>
  </si>
  <si>
    <t>Replanteo final de la obra para conexión domiciliaria</t>
  </si>
  <si>
    <t>Demolición de caja y tapa en mal estado, de conex. dom. desague (incl. acomodo del desmonte para su eliminación)</t>
  </si>
  <si>
    <t>Tapa</t>
  </si>
  <si>
    <t>Losa de fondo</t>
  </si>
  <si>
    <t>Excav. zanja (pulso) p/tub. terr-normal  DN  100 -  150  de 0,60 m a 1,00 m prof.</t>
  </si>
  <si>
    <t>Excav. zanja (pulso) p/tub. terr-normal  DN  100 -  150  de 1,01 m a 1,25 m prof.</t>
  </si>
  <si>
    <t>Refine y nivel de zanja terr-normal para tub. DN  100 -  150  para toda profund.</t>
  </si>
  <si>
    <t>Relleno comp.zanja(pulso) p/tub t-normal DN  100 -  150  de 0,60 m a 1,00 m prof.</t>
  </si>
  <si>
    <t>Relleno comp.zanja(pulso) p/tub t-normal DN  100 -  150  de 1,01 m a 1,25 m prof.</t>
  </si>
  <si>
    <t>Elimin. desmonte(carg+v) t-normal D=20km p/tub. DN  100 -  150  para toda prof.</t>
  </si>
  <si>
    <t>SUMINISTRO E INSTALACION DE ELEMENTOS PARA CONEXION DOMICILIARIA</t>
  </si>
  <si>
    <t>TUBERIAS</t>
  </si>
  <si>
    <t>Abrazadera de polietileno para conexión domiciliaria de alcantarillado DN 200 mm x 160mm - incluye codo de 45</t>
  </si>
  <si>
    <t>Abrazadera de polietileno para conexión domiciliaria de alcantarillado DN 200 mm x 160mm - incluye codo de 90</t>
  </si>
  <si>
    <t>Abrazadera de polietileno para conexión domiciliaria de alcantarillado DN 250 mm x 160mm - incluyen codo 45</t>
  </si>
  <si>
    <t>Instalación de abrazadera para red de HDPE DN 200 y salida a conexión domiciliaria de alcantarillado DN 160</t>
  </si>
  <si>
    <t>Instalación de abrazadera para red de HDPE DN 250 y salida a conexión domiciliaria de alcantarillado DN 160</t>
  </si>
  <si>
    <t>CAJAS</t>
  </si>
  <si>
    <t>Suministro de caja de concreto simple y  tapa concreto armado de 0,30 m x 0,60 m (cajas a rehabilitar)</t>
  </si>
  <si>
    <t>Sumin. caja concreto simple y  tapa conc ar. 0,30 x 0,60m; de 1,01-1,25m prof.(incl. caja más 2 cuerpos adic. de 0,30m)</t>
  </si>
  <si>
    <t>Instalación de caja y tapa de registro   de 0,30 m x 0,60 m en terreno normal</t>
  </si>
  <si>
    <t>Instalación caja y tapa de registro 0,30 m x 0,60 m, de 1.01-1,25m prof. en t-normal (incl. instalación de cuerpos adic)</t>
  </si>
  <si>
    <t>PRUEBAS</t>
  </si>
  <si>
    <t>TOTAL DE EXCAVACION DE ZANJA</t>
  </si>
  <si>
    <t>DESVIO DE AGUA SERVIDAS PARA TUB. 200-250 mm</t>
  </si>
  <si>
    <t>P. Rigido</t>
  </si>
  <si>
    <t>P. Flexible</t>
  </si>
  <si>
    <t>P. Mixto</t>
  </si>
  <si>
    <t>Vereda</t>
  </si>
  <si>
    <t>Area Verde</t>
  </si>
  <si>
    <t>Adoquinado</t>
  </si>
  <si>
    <t>CORTE Y REPOCICION DE PAVIMENTO</t>
  </si>
  <si>
    <t>Pavimento Rigido</t>
  </si>
  <si>
    <t>Pavimento Flexible</t>
  </si>
  <si>
    <t>Pavimento Mixto</t>
  </si>
  <si>
    <t>Vereda Rigida</t>
  </si>
  <si>
    <t>buzon a anular, de 1.01 a 1.25 m de profundidad (inc. demolicion y eliminacion de losa)</t>
  </si>
  <si>
    <t>buzon a anular, de 1.26 a 1.50 m de profundidad (inc. demolicion y eliminacion de losa)</t>
  </si>
  <si>
    <t>buzon a anular, de 1.51 a 1.75 m de profundidad (inc. demolicion y eliminacion de losa)</t>
  </si>
  <si>
    <t>buzon a anular, de 1.76 a 2.00 m de profundidad (inc. demolicion y eliminacion de losa)</t>
  </si>
  <si>
    <t>buzon a anular, de 2.01 a 2.50 m de profundidad (inc. demolicion y eliminacion de losa)</t>
  </si>
  <si>
    <t>Sellado de buzon existente con concreto fluido f'c=100kg/cm2</t>
  </si>
  <si>
    <t>Sellado de tuberia existente DN 200-250 mm con concreto fluido f'c=100kg/cm2</t>
  </si>
  <si>
    <t>TUB. A ANULAR O SELLAR</t>
  </si>
  <si>
    <t>Entibado de madera para linea hasta 4.00 m de prof.</t>
  </si>
  <si>
    <t>Entibado de madera para linea hasta 5.00 m de prof.</t>
  </si>
  <si>
    <t>METRADO PARA ENTIVADO (CON EQUIPO)</t>
  </si>
  <si>
    <t>METRADO PARA ENTIVADO (A MANO)</t>
  </si>
  <si>
    <t>REHABILITADO</t>
  </si>
  <si>
    <t>PROYECTADO</t>
  </si>
  <si>
    <t>DEJAR EXISTENTE</t>
  </si>
  <si>
    <t>200-250 mm</t>
  </si>
  <si>
    <t>300-350 mm</t>
  </si>
  <si>
    <t>TRABAJO SEGÚN ESTADO DE TUBERIAS</t>
  </si>
  <si>
    <t>R=REHABILITAR</t>
  </si>
  <si>
    <t>E=DEJAR EXISTENTE</t>
  </si>
  <si>
    <t>CSN</t>
  </si>
  <si>
    <t>P=PROYECTADO</t>
  </si>
  <si>
    <t>Desmontaje y retiro de tuberia CSN  DN 300 - 350 mm</t>
  </si>
  <si>
    <t>METRADO DE DESMONTAJE Y RETIRO DE TUBERIA</t>
  </si>
  <si>
    <t>Tub CSN 200 - 250 mm</t>
  </si>
  <si>
    <t>Excav. zanja (pulso) p/tub. terr-normal  DN  200 -  250  de 2,51 m a 3,00 m prof.</t>
  </si>
  <si>
    <t>Excav. zanja (pulso) p/tub. terr-normal  DN  300 -  350  de 2,01 m a 2,50 m prof.</t>
  </si>
  <si>
    <t>Acarreo de desmonte (pulso) p/tub.DN 300 - 350 mm  t. normal en zona aledaña durante la excavación</t>
  </si>
  <si>
    <t>Acarreo de desmonte (pulso) p/tub.DN 300 - 350 mm  t. normal en zona aledaña para el relleno</t>
  </si>
  <si>
    <t>METRADO DE TUBERIA POR DN</t>
  </si>
  <si>
    <t>METRADO DE TUB POR DN</t>
  </si>
  <si>
    <t>Pav. Flexible</t>
  </si>
  <si>
    <t>EMPALMES (TUB. LLEGADA Y SALIDA)</t>
  </si>
  <si>
    <t>Empalmes de tuberías DN  300  a  350     buzón existente en servicio</t>
  </si>
  <si>
    <t>200 - 250</t>
  </si>
  <si>
    <t>300 - 350</t>
  </si>
  <si>
    <t>PASAMUROS</t>
  </si>
  <si>
    <t>200 mm</t>
  </si>
  <si>
    <t>250 mm</t>
  </si>
  <si>
    <t>315 mm</t>
  </si>
  <si>
    <t>CALLE Y/O AVENIDA</t>
  </si>
  <si>
    <t>N° Lote</t>
  </si>
  <si>
    <t>N° Municipal</t>
  </si>
  <si>
    <t xml:space="preserve"> Caja de Registro</t>
  </si>
  <si>
    <t>Condición</t>
  </si>
  <si>
    <t>Material a Extraer</t>
  </si>
  <si>
    <t>N° conex. Alcantarillado</t>
  </si>
  <si>
    <t>TIPO EN EXIST</t>
  </si>
  <si>
    <t>TIPO EN PROY.</t>
  </si>
  <si>
    <t>Visible</t>
  </si>
  <si>
    <t>Largo(m)</t>
  </si>
  <si>
    <t>Ancho(m)</t>
  </si>
  <si>
    <t>Prof(m)</t>
  </si>
  <si>
    <t>CONEX. INTERNA (A)</t>
  </si>
  <si>
    <t>CONEX. EXTERNA (B)</t>
  </si>
  <si>
    <t>CONEX. COMP. INTERNA (C )</t>
  </si>
  <si>
    <t>CONEX. COMP. EXTERNA (D)</t>
  </si>
  <si>
    <t>Prof. PROM</t>
  </si>
  <si>
    <t>H INICIO</t>
  </si>
  <si>
    <t>H FINAL</t>
  </si>
  <si>
    <t>diametro nominal de la red a emplame</t>
  </si>
  <si>
    <t>S/N</t>
  </si>
  <si>
    <t>X</t>
  </si>
  <si>
    <t>U</t>
  </si>
  <si>
    <t>D</t>
  </si>
  <si>
    <t>RE</t>
  </si>
  <si>
    <t>C</t>
  </si>
  <si>
    <t>RI</t>
  </si>
  <si>
    <t>B</t>
  </si>
  <si>
    <t>T</t>
  </si>
  <si>
    <t>K</t>
  </si>
  <si>
    <t>I</t>
  </si>
  <si>
    <t>A-2</t>
  </si>
  <si>
    <t>G</t>
  </si>
  <si>
    <t>Prof. de C.R.</t>
  </si>
  <si>
    <t xml:space="preserve">PVC Existente </t>
  </si>
  <si>
    <t>Caja int a Reubicar al Exterior</t>
  </si>
  <si>
    <t>Caja Exterior a mejorar</t>
  </si>
  <si>
    <t>Caja internas compartidas a reubicar al exterior</t>
  </si>
  <si>
    <t>Caja externas compartidas a mejorar</t>
  </si>
  <si>
    <t>0.60-1.00</t>
  </si>
  <si>
    <t>1.01-1.25</t>
  </si>
  <si>
    <t>1.26-1.50</t>
  </si>
  <si>
    <t>1.51-1.75</t>
  </si>
  <si>
    <t>1.76-2.00</t>
  </si>
  <si>
    <t>2.01-2.50</t>
  </si>
  <si>
    <t>CONEX EXITENTES</t>
  </si>
  <si>
    <t>CONEX. PROYECTADAS</t>
  </si>
  <si>
    <t>0.6-1</t>
  </si>
  <si>
    <t>1-1.25</t>
  </si>
  <si>
    <t>1.50-1.75</t>
  </si>
  <si>
    <t>1.76-2</t>
  </si>
  <si>
    <t>2.0-2.50</t>
  </si>
  <si>
    <t>TUBERIAS PARA CONEX. DOMICILIARIAS</t>
  </si>
  <si>
    <t>CAJAS A DEMOLER</t>
  </si>
  <si>
    <t>DEMOLICION DE CAJA DE REGISTRO</t>
  </si>
  <si>
    <t>REP. DE PAV, ETC</t>
  </si>
  <si>
    <t>CAJAS DE AGUA A SER MOVILIZADAS</t>
  </si>
  <si>
    <t>Bz-73a</t>
  </si>
  <si>
    <t>Bz-74a</t>
  </si>
  <si>
    <t>Bz-1a</t>
  </si>
  <si>
    <t>Bz-1b</t>
  </si>
  <si>
    <t>Bz-14a</t>
  </si>
  <si>
    <t>Bz-22</t>
  </si>
  <si>
    <t>Bz-29</t>
  </si>
  <si>
    <t>Bz-35</t>
  </si>
  <si>
    <t>Bz-37</t>
  </si>
  <si>
    <t>Bz-38</t>
  </si>
  <si>
    <t>Bz-40</t>
  </si>
  <si>
    <t>Bz-43</t>
  </si>
  <si>
    <t>Bz-44</t>
  </si>
  <si>
    <t>Bz-45</t>
  </si>
  <si>
    <t>Bz-46</t>
  </si>
  <si>
    <t>Bz-46a</t>
  </si>
  <si>
    <t>Bz-48a</t>
  </si>
  <si>
    <t>Bz-51</t>
  </si>
  <si>
    <t>Bz-55a</t>
  </si>
  <si>
    <t>Bz-59A</t>
  </si>
  <si>
    <t>Bz-62a</t>
  </si>
  <si>
    <t>Bz-65a</t>
  </si>
  <si>
    <t>Bz-89</t>
  </si>
  <si>
    <t>BE-76</t>
  </si>
  <si>
    <t>BE-2</t>
  </si>
  <si>
    <t>BE-3</t>
  </si>
  <si>
    <t>BZ-1B</t>
  </si>
  <si>
    <t>BZ-1A</t>
  </si>
  <si>
    <t>BZ-1</t>
  </si>
  <si>
    <t>BZ-3</t>
  </si>
  <si>
    <t>BZ-4</t>
  </si>
  <si>
    <t>BZ-2</t>
  </si>
  <si>
    <t>BZ-5</t>
  </si>
  <si>
    <t>BZ-6</t>
  </si>
  <si>
    <t>BZ-8</t>
  </si>
  <si>
    <t>BZ-7</t>
  </si>
  <si>
    <t>BZ-9</t>
  </si>
  <si>
    <t>BZ-27</t>
  </si>
  <si>
    <t>BZ-28</t>
  </si>
  <si>
    <t>BZ-10</t>
  </si>
  <si>
    <t>BZ-23</t>
  </si>
  <si>
    <t>BZ-20</t>
  </si>
  <si>
    <t>BZ-21</t>
  </si>
  <si>
    <t>BZ-22</t>
  </si>
  <si>
    <t>BZ-11</t>
  </si>
  <si>
    <t>BE-4</t>
  </si>
  <si>
    <t>BE-5</t>
  </si>
  <si>
    <t>BE-34</t>
  </si>
  <si>
    <t>BE-36</t>
  </si>
  <si>
    <t>BZ-12</t>
  </si>
  <si>
    <t>BZ-14</t>
  </si>
  <si>
    <t>BZ-14A</t>
  </si>
  <si>
    <t>BZ-13</t>
  </si>
  <si>
    <t>BZ-15</t>
  </si>
  <si>
    <t>BZ-17</t>
  </si>
  <si>
    <t>BZ-18</t>
  </si>
  <si>
    <t>BZ-19</t>
  </si>
  <si>
    <t>BZ-24</t>
  </si>
  <si>
    <t>BZ-25</t>
  </si>
  <si>
    <t>BZ-26</t>
  </si>
  <si>
    <t>BZ-32</t>
  </si>
  <si>
    <t>BZ-29</t>
  </si>
  <si>
    <t>BZ-30</t>
  </si>
  <si>
    <t>BZ-79</t>
  </si>
  <si>
    <t>BZ-80</t>
  </si>
  <si>
    <t>BZ-31</t>
  </si>
  <si>
    <t>BZ-33</t>
  </si>
  <si>
    <t>BZ-37</t>
  </si>
  <si>
    <t>BZ-35</t>
  </si>
  <si>
    <t>BZ-34</t>
  </si>
  <si>
    <t>BZ-36</t>
  </si>
  <si>
    <t>BZ-38</t>
  </si>
  <si>
    <t>BZ-41</t>
  </si>
  <si>
    <t>BZ-39</t>
  </si>
  <si>
    <t>BZ-40</t>
  </si>
  <si>
    <t>BZ-42</t>
  </si>
  <si>
    <t>BZ-94</t>
  </si>
  <si>
    <t>BZ-43</t>
  </si>
  <si>
    <t>BZ-44</t>
  </si>
  <si>
    <t>BZ-46</t>
  </si>
  <si>
    <t>BZ-45</t>
  </si>
  <si>
    <t>BZ-47</t>
  </si>
  <si>
    <t>BZ-48</t>
  </si>
  <si>
    <t>BZ-48A</t>
  </si>
  <si>
    <t>BZ-51</t>
  </si>
  <si>
    <t>BZ-49</t>
  </si>
  <si>
    <t>BZ-50</t>
  </si>
  <si>
    <t>BZ-59</t>
  </si>
  <si>
    <t>BZ-59A</t>
  </si>
  <si>
    <t>BZ-61</t>
  </si>
  <si>
    <t>BZ-62</t>
  </si>
  <si>
    <t>BZ-62A</t>
  </si>
  <si>
    <t>BZ-64</t>
  </si>
  <si>
    <t>BZ-65A</t>
  </si>
  <si>
    <t>BZ-65</t>
  </si>
  <si>
    <t>BZ-63</t>
  </si>
  <si>
    <t>BZ-66</t>
  </si>
  <si>
    <t>BZ-67</t>
  </si>
  <si>
    <t>BZ-73A</t>
  </si>
  <si>
    <t>BZ-71</t>
  </si>
  <si>
    <t>BZ-70</t>
  </si>
  <si>
    <t>BZ-73</t>
  </si>
  <si>
    <t>BZ-74</t>
  </si>
  <si>
    <t>BZ-74A</t>
  </si>
  <si>
    <t>BZ-72</t>
  </si>
  <si>
    <t>BZ-68</t>
  </si>
  <si>
    <t>BZ-52</t>
  </si>
  <si>
    <t>BZ-78</t>
  </si>
  <si>
    <t>BZ-54</t>
  </si>
  <si>
    <t>BZ-55</t>
  </si>
  <si>
    <t>BZ-56</t>
  </si>
  <si>
    <t>BZ-57</t>
  </si>
  <si>
    <t>BZ-58</t>
  </si>
  <si>
    <t>BZ-16</t>
  </si>
  <si>
    <t>BZ-69</t>
  </si>
  <si>
    <t>BZ-53</t>
  </si>
  <si>
    <t>BZ-92</t>
  </si>
  <si>
    <t>BZ-91</t>
  </si>
  <si>
    <t>BZ-93</t>
  </si>
  <si>
    <t>A-1</t>
  </si>
  <si>
    <t>PTA. LOMITAS</t>
  </si>
  <si>
    <t>ELIAS CHUNGA ZAPATA</t>
  </si>
  <si>
    <t>ALIAS CHUNGA ZAPATA</t>
  </si>
  <si>
    <t>AV. LOS INSURGENTES</t>
  </si>
  <si>
    <t>CALLE NAUTA</t>
  </si>
  <si>
    <t>CALLE ETEN</t>
  </si>
  <si>
    <t>CALLE JOSE PARDO</t>
  </si>
  <si>
    <t>A-3</t>
  </si>
  <si>
    <t>COLEGIO</t>
  </si>
  <si>
    <t>PUERTO SAMANCO</t>
  </si>
  <si>
    <t>PTO. PAITA</t>
  </si>
  <si>
    <t>GRITO DE HUAURA</t>
  </si>
  <si>
    <t>CALLE S/N</t>
  </si>
  <si>
    <t>MONITOR HUASCAR</t>
  </si>
  <si>
    <t>CALLE VALCARCEL</t>
  </si>
  <si>
    <t>VALCARCEL</t>
  </si>
  <si>
    <t>A-4</t>
  </si>
  <si>
    <t>SATURNINO MEJIA</t>
  </si>
  <si>
    <t>D-1</t>
  </si>
  <si>
    <t>JULIO ARTILLERO</t>
  </si>
  <si>
    <t>PARROQUIA</t>
  </si>
  <si>
    <t>B-1</t>
  </si>
  <si>
    <t>M-1</t>
  </si>
  <si>
    <t>PUNTA HUACAS</t>
  </si>
  <si>
    <t>PASAJE PUNTA LOMITA</t>
  </si>
  <si>
    <t>J</t>
  </si>
  <si>
    <t>PTO. TINAJA</t>
  </si>
  <si>
    <t>CELEDON</t>
  </si>
  <si>
    <t>PTO. DE LOS INGLESES</t>
  </si>
  <si>
    <t>L</t>
  </si>
  <si>
    <t>BOCA DEL RIO</t>
  </si>
  <si>
    <t>FEDERICO NOGUERA</t>
  </si>
  <si>
    <t>JR. LIZANDRO MONTERO</t>
  </si>
  <si>
    <t>N</t>
  </si>
  <si>
    <t>O</t>
  </si>
  <si>
    <t>PTA. PLAYUELAS</t>
  </si>
  <si>
    <t>HIERBA BUENA</t>
  </si>
  <si>
    <t>T.RIOS</t>
  </si>
  <si>
    <t>CUMANA</t>
  </si>
  <si>
    <t>A-5</t>
  </si>
  <si>
    <t>PTA.MERMETE</t>
  </si>
  <si>
    <t>Q</t>
  </si>
  <si>
    <t>ILAVE</t>
  </si>
  <si>
    <t>RESIDENCIAL</t>
  </si>
  <si>
    <t>x</t>
  </si>
  <si>
    <t xml:space="preserve">PROYECTO: </t>
  </si>
  <si>
    <t>UBICACIÓN:</t>
  </si>
  <si>
    <t xml:space="preserve">“CONSULTORÍA DE OBRA PARA LA ELABORACIÓN DEL ESTUDIO DEFINITIVO Y EXPEDIENTE TÉCNICO DE OBRA: CAMBIO DE COLECTOR EN URBANIZACIÓN GERMAN ASTETE – LA PERLA” </t>
  </si>
  <si>
    <t xml:space="preserve">URBANIZACIÓN GERMAN ASTETE – LA PERLA - CALLAO </t>
  </si>
  <si>
    <t>SUSTENTO DE PLANILLA DE BASE DE METRADO</t>
  </si>
  <si>
    <t>RESUMEN DE METRADOS</t>
  </si>
  <si>
    <t>H= 0.60 - 1.00</t>
  </si>
  <si>
    <t>H= 1.01 - 1.25</t>
  </si>
  <si>
    <t>H= 1.26 - 1.50</t>
  </si>
  <si>
    <t>H= 1.51 - 1.75</t>
  </si>
  <si>
    <t>H= 1.76 - 2.00</t>
  </si>
  <si>
    <t>H= 2.01 - 2.50</t>
  </si>
  <si>
    <t>CONEX. INTERNA (U)</t>
  </si>
  <si>
    <t>CONEX. EXTERNA (R)</t>
  </si>
  <si>
    <t>CONEX. COMP. INTERNA (RI )</t>
  </si>
  <si>
    <t>CONEX. COMP. EXTERNA (RE)</t>
  </si>
  <si>
    <t>Tub CSN 300 - 350 mm</t>
  </si>
  <si>
    <t>Mitigación ambiental durante la ejecución de la obra</t>
  </si>
  <si>
    <t xml:space="preserve">         Eliminacion de residuos no preligrosos</t>
  </si>
  <si>
    <t xml:space="preserve">         Demolicion de vereda para cajas de registro</t>
  </si>
  <si>
    <t xml:space="preserve">         Excavacion de zanjas para conexiones domiciliarias</t>
  </si>
  <si>
    <t xml:space="preserve">         Traslado de residuos</t>
  </si>
  <si>
    <t xml:space="preserve">         Reposicion de areas verdes</t>
  </si>
  <si>
    <t>N° conex. Agua (reposicion por interferencia en pasajes angostos)</t>
  </si>
  <si>
    <t>GERMAN ASTETE - LA PERLA</t>
  </si>
  <si>
    <t>INTERFERENCIAS</t>
  </si>
  <si>
    <t>CANTIDAD CONEXIONES DOMICILIARIAS POR CALLE</t>
  </si>
  <si>
    <t>CANTIDAD REDES ALCANTARILLADO POR CALLE</t>
  </si>
  <si>
    <t>CALLE</t>
  </si>
  <si>
    <t>TELEFONO</t>
  </si>
  <si>
    <t>AGUA</t>
  </si>
  <si>
    <t>RED ELECTRICA</t>
  </si>
  <si>
    <t>POSTES LUZ</t>
  </si>
  <si>
    <t>POSTES DE TEL</t>
  </si>
  <si>
    <t>PUNTA MERMETE</t>
  </si>
  <si>
    <t>F.  NOGUERA</t>
  </si>
  <si>
    <t>ELIAS CH. ZAPATA</t>
  </si>
  <si>
    <t>HUASCAR</t>
  </si>
  <si>
    <t>BOTERIN</t>
  </si>
  <si>
    <t>PTO.  PAITA</t>
  </si>
  <si>
    <t>J.   PARDO</t>
  </si>
  <si>
    <t>NAUTA</t>
  </si>
  <si>
    <t>ETEN</t>
  </si>
  <si>
    <t>PJE. PUNTA LOMITA</t>
  </si>
  <si>
    <t>PTO. DE LOS  INGLESES</t>
  </si>
  <si>
    <t>T.  RIOS</t>
  </si>
  <si>
    <t>POSTES DE LUZ</t>
  </si>
  <si>
    <t>POSTES DE TELEFONO</t>
  </si>
  <si>
    <t>Campamento provisional para la obra tipo AD-03</t>
  </si>
  <si>
    <t>Desvío de aguas servidas incl. bombeo y  alquiler de tubo p/mantenim. servicio DN 300-350 mm</t>
  </si>
  <si>
    <t>DESVIO DE AGUA SERVIDAS PARA TUB. 300-350 mm</t>
  </si>
  <si>
    <t>PVC 200mm</t>
  </si>
  <si>
    <t>CSN 200mm</t>
  </si>
  <si>
    <t>CSN 250mm</t>
  </si>
  <si>
    <t>CSN 300mm</t>
  </si>
  <si>
    <t>Longitud Rep. Pavimento</t>
  </si>
  <si>
    <t>TUB. A ELIMINAR (CSN 200mm)</t>
  </si>
  <si>
    <t xml:space="preserve">PROGRAMA DE INSPECCIONES PLANEADAS </t>
  </si>
  <si>
    <t>PROGRAMA DE INDUCCIÓN , CAPACITACIÓN Y ENTRENAMIENTO</t>
  </si>
  <si>
    <t>PROGRAMA DE REGISTRO, NOTIFICACIÓN E INVESTIGACIÓN DE ACCIDENTES</t>
  </si>
  <si>
    <t>PROGRAMA DE IDENTIFICACIÓN Y CONTROL DE RIESGO HIGIÉNICOS</t>
  </si>
  <si>
    <t>CONTROL OPERACIONAL</t>
  </si>
  <si>
    <t>PROGRAMA DE MANEJO DE MATERIALES PELIGROSOS EN OBRA</t>
  </si>
  <si>
    <t>PROGRAMA DE MANTENIMIENTO PREVENTIVO DE MAQUINARIA Y EQUIPOS</t>
  </si>
  <si>
    <t>PLAN DE CONTINGENCIA</t>
  </si>
  <si>
    <t>MEDICIÓN Y SEGUIMIENTO DEL DESEMPEÑO Y MONITOREO EN SST</t>
  </si>
  <si>
    <t>Plan de tránsito vehicular y peatonal durante la obra</t>
  </si>
  <si>
    <t>Trazo y replanteo inicial del proyecto,  para líneas-redes</t>
  </si>
  <si>
    <t>Corte+rotura, ED y reposic. de pavimento flexible asfalto caliente de  e= 2"  (incl. pago por disp. final)</t>
  </si>
  <si>
    <t>Corte+rotura, ED y reposic. de pavimento flexible asfalto caliente de  e= 2" para buzones  (incl. pago por disp. final)</t>
  </si>
  <si>
    <t>Demolición de buzón de mal estado, de 1,01 a 1,25 m de profundidad (incl. eliminacion desmonte en centro acopio autorizado)</t>
  </si>
  <si>
    <t>Demolición de buzón de mal estado, de 1,26 a 1,50 m de profundidad (incl. eliminacion desmonte en centro acopio autorizado)</t>
  </si>
  <si>
    <t>Demolición de buzón de mal estado, de 1,51 a 1,75 m de profundidad (incl. eliminacion desmonte en centro acopio autorizado)</t>
  </si>
  <si>
    <t>Demolición de buzón de mal estado, de 1,76 a 2,00 m de profundidad (incl. eliminacion desmonte en centro acopio autorizado)</t>
  </si>
  <si>
    <t>Demolición de buzón de mal estado, de 2,01 a 2,50 m de profundidad (incl. eliminacion desmonte en centro acopio autorizado)</t>
  </si>
  <si>
    <t>Demolición de buzón de mal estado, de 2,51 a 3,00 m de profundidad (incl. eliminacion desmonte en centro acopio autorizado)</t>
  </si>
  <si>
    <t>Eliminación de desmonte en terreno normal R=20 km con maquinaria (incluye pago por disposicion final material peligroso)</t>
  </si>
  <si>
    <t>Proteccion de postes para alumbrado - telefono</t>
  </si>
  <si>
    <t>Eliminación de desmonte por demolición R=20 km con maquinaria (incluye pago por disposicion final material peligroso)</t>
  </si>
  <si>
    <t>Instalación elementos de control para    conexión agua DN  15  -  25</t>
  </si>
  <si>
    <t>Suministro de tuberia HDPE SN-2 NTP-ISO 8772:2009 DN 200 mm</t>
  </si>
  <si>
    <t>Suministro de tuberia HDPE SN-2 NTP-ISO 8772:2009 DN 250 mm</t>
  </si>
  <si>
    <t>Tubería PVC-U UF NTP ISO 4435 SN 2 DN  300  incl. anillo + 2% desperdicios</t>
  </si>
  <si>
    <t>Instalación tuberia HDPE unión por termofusión DN 200 mm incluye prueba hidráulica a zanja abierta</t>
  </si>
  <si>
    <t>Instalación tuberia HDPE unión por termofusión DN 250 mm incluye prueba hidráulica a zanja abierta</t>
  </si>
  <si>
    <t>Instalación de tubería de PVC p/desagüe  DN  300  incluye prueba hidráulica a zanja abierta</t>
  </si>
  <si>
    <t xml:space="preserve">Reconstrucción de buzón I  t-normal, a pulso, de 1,01 a 1,25 m  profundidad (encof. exterior e interior) </t>
  </si>
  <si>
    <t xml:space="preserve">Reconstrucción de buzón I  t-normal, a pulso, de 1,26 a 1,50 m  profundidad (encof. exterior e interior) </t>
  </si>
  <si>
    <t xml:space="preserve">Reconstrucción de buzón I  t-normal, a pulso, de 1,51 a 1,75 m  profundidad (encof. exterior e interior) </t>
  </si>
  <si>
    <t xml:space="preserve">Reconstrucción de buzón I  t-normal, a pulso, de 1,76 a 2,00 m  profundidad (encof. exterior e interior) </t>
  </si>
  <si>
    <t xml:space="preserve">Reconstrucción de buzón I  t-normal, a pulso, de 2,01 a 2,50 m  profundidad (encof. exterior e interior) </t>
  </si>
  <si>
    <t xml:space="preserve">Reconstrucción de buzón I  t-normal, a pulso, de 2,51 a 3,00 m  profundidad (encof. exterior e interior) </t>
  </si>
  <si>
    <t>TRABAJOS PRELIMINARES Y COMPLEMENTARIOS</t>
  </si>
  <si>
    <t>Desmontaje y retiro de  tubería  DN 100 - 150 mm por reemplazar</t>
  </si>
  <si>
    <t>Corte+rotura, ED y reposición de vereda  rígida f'c 175 kg/cm2 de 10 cm espesor  (incl. pago por disp. final)</t>
  </si>
  <si>
    <t>Corte+Rotura, ED y reposición de Piso Loseta corriente de 0,20 x 0,20 m (incl. pago por disp. final)</t>
  </si>
  <si>
    <t>Tubería PVC-U UF NTP ISO 4435 SN 2 DN  150  incl. anillo + 2% desperdicios</t>
  </si>
  <si>
    <t>Instalación de tubería de PVC p/desagüe  DN  150  incluye prueba hidráulica</t>
  </si>
  <si>
    <t>Suministro de elemento de empotramiento  de tubería de PVC-U  DN  315 - incluye codo DNE 160 de 45</t>
  </si>
  <si>
    <t>Suministro de elemento de empotramiento  de tubería de PVC-U  DN  315- incluye codo DNE 160 de 90</t>
  </si>
  <si>
    <t>Instalación de elemento de empotramiento de tubería PVC-U  DN  160  a  315</t>
  </si>
  <si>
    <t>Prueba hidráulica de tubería p/desague   DN  150</t>
  </si>
  <si>
    <t>Prueba de compactacion de suelos (proctor modificado - densidad de campo)</t>
  </si>
  <si>
    <t xml:space="preserve">         Transporte de materiales y residuos de demoliciones</t>
  </si>
  <si>
    <t xml:space="preserve">         Fragmentación de la tubería existente</t>
  </si>
  <si>
    <t xml:space="preserve">         Conexiones domiciliarias (residuos)</t>
  </si>
  <si>
    <t xml:space="preserve">         Rehabilitación de acometidas</t>
  </si>
  <si>
    <t xml:space="preserve">         Todas las actividades (baños portatiles)</t>
  </si>
  <si>
    <t>Proteccion de redes existentes de  DN 100  a 150</t>
  </si>
  <si>
    <t>dia</t>
  </si>
  <si>
    <t>Longitud de conex. Domiciliaria</t>
  </si>
  <si>
    <t>MZ.</t>
  </si>
  <si>
    <t>Mitigacion de Impactos Ambientales</t>
  </si>
  <si>
    <t>DIAMETRO DE EMPALME</t>
  </si>
  <si>
    <t>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</si>
</sst>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 * #,##0.00_ ;_ * \-#,##0.00_ ;_ * &quot;-&quot;??_ ;_ @_ "/>
    <numFmt numFmtId="164" formatCode="#,##0.000"/>
    <numFmt numFmtId="165" formatCode="0.000"/>
    <numFmt numFmtId="166" formatCode="00"/>
    <numFmt numFmtId="167" formatCode="00.00"/>
    <numFmt numFmtId="168" formatCode="00.00.00"/>
    <numFmt numFmtId="169" formatCode="00.00.00.00"/>
    <numFmt numFmtId="170" formatCode="#,##0.0000"/>
    <numFmt numFmtId="171" formatCode="_ * #,##0.000_ ;_ * \-#,##0.000_ ;_ * &quot;-&quot;??_ ;_ @_ 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b/>
      <sz val="8"/>
      <name val="Arial"/>
      <family val="2"/>
    </font>
    <font>
      <sz val="8"/>
      <color theme="1"/>
      <name val="Tahoma"/>
      <family val="2"/>
    </font>
    <font>
      <sz val="8"/>
      <color theme="1"/>
      <name val="Arial"/>
      <family val="2"/>
    </font>
    <font>
      <sz val="8"/>
      <color theme="1" tint="4.9989318521683403E-2"/>
      <name val="Arial"/>
      <family val="2"/>
    </font>
    <font>
      <sz val="10"/>
      <color theme="1" tint="4.9989318521683403E-2"/>
      <name val="Arial"/>
      <family val="2"/>
    </font>
    <font>
      <sz val="10"/>
      <color theme="1"/>
      <name val="Arial Narrow"/>
      <family val="2"/>
    </font>
    <font>
      <b/>
      <sz val="12"/>
      <color theme="1"/>
      <name val="Calibri"/>
      <family val="2"/>
      <scheme val="minor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8"/>
      <color indexed="10"/>
      <name val="Arial"/>
      <family val="2"/>
    </font>
    <font>
      <b/>
      <sz val="8"/>
      <color indexed="8"/>
      <name val="Arial"/>
      <family val="2"/>
    </font>
    <font>
      <sz val="8"/>
      <color theme="4"/>
      <name val="Arial"/>
      <family val="2"/>
    </font>
    <font>
      <sz val="9"/>
      <name val="Arial"/>
      <family val="2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Cambria"/>
      <family val="1"/>
      <scheme val="major"/>
    </font>
    <font>
      <b/>
      <sz val="9"/>
      <color theme="1"/>
      <name val="Cambria"/>
      <family val="1"/>
      <scheme val="major"/>
    </font>
    <font>
      <b/>
      <sz val="9"/>
      <name val="Cambria"/>
      <family val="1"/>
      <scheme val="maj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Arial"/>
      <family val="2"/>
    </font>
    <font>
      <sz val="11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1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auto="1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24" fillId="0" borderId="0" applyFont="0" applyFill="0" applyBorder="0" applyAlignment="0" applyProtection="0"/>
  </cellStyleXfs>
  <cellXfs count="604">
    <xf numFmtId="0" fontId="0" fillId="0" borderId="0" xfId="0"/>
    <xf numFmtId="164" fontId="3" fillId="2" borderId="0" xfId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0" xfId="1" applyNumberFormat="1" applyFont="1" applyFill="1" applyBorder="1" applyAlignment="1">
      <alignment horizontal="center" vertical="center"/>
    </xf>
    <xf numFmtId="4" fontId="6" fillId="2" borderId="10" xfId="2" applyNumberFormat="1" applyFont="1" applyFill="1" applyBorder="1" applyAlignment="1">
      <alignment horizontal="center" vertical="center"/>
    </xf>
    <xf numFmtId="4" fontId="6" fillId="2" borderId="11" xfId="2" applyNumberFormat="1" applyFont="1" applyFill="1" applyBorder="1" applyAlignment="1">
      <alignment horizontal="center" vertical="center"/>
    </xf>
    <xf numFmtId="4" fontId="5" fillId="2" borderId="12" xfId="2" applyNumberFormat="1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4" fontId="0" fillId="0" borderId="15" xfId="0" applyNumberForma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4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4" fillId="2" borderId="0" xfId="2" applyNumberFormat="1" applyFont="1" applyFill="1" applyBorder="1" applyAlignment="1">
      <alignment horizontal="center" vertical="center"/>
    </xf>
    <xf numFmtId="0" fontId="4" fillId="2" borderId="0" xfId="2" applyFont="1" applyFill="1" applyBorder="1" applyAlignment="1">
      <alignment horizontal="center" vertical="center"/>
    </xf>
    <xf numFmtId="0" fontId="2" fillId="2" borderId="0" xfId="2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6" borderId="35" xfId="2" applyNumberFormat="1" applyFont="1" applyFill="1" applyBorder="1" applyAlignment="1">
      <alignment horizontal="center" vertical="center"/>
    </xf>
    <xf numFmtId="0" fontId="5" fillId="0" borderId="30" xfId="2" applyNumberFormat="1" applyFont="1" applyFill="1" applyBorder="1" applyAlignment="1">
      <alignment horizontal="center" vertical="center"/>
    </xf>
    <xf numFmtId="4" fontId="12" fillId="2" borderId="11" xfId="2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2" borderId="17" xfId="2" applyFill="1" applyBorder="1" applyAlignment="1">
      <alignment horizontal="right" vertical="center"/>
    </xf>
    <xf numFmtId="0" fontId="2" fillId="2" borderId="18" xfId="2" applyFill="1" applyBorder="1" applyAlignment="1">
      <alignment horizontal="right" vertical="center"/>
    </xf>
    <xf numFmtId="0" fontId="2" fillId="2" borderId="19" xfId="2" applyFill="1" applyBorder="1" applyAlignment="1">
      <alignment horizontal="right" vertical="center"/>
    </xf>
    <xf numFmtId="0" fontId="0" fillId="0" borderId="15" xfId="0" applyBorder="1"/>
    <xf numFmtId="0" fontId="5" fillId="2" borderId="39" xfId="2" applyNumberFormat="1" applyFont="1" applyFill="1" applyBorder="1" applyAlignment="1">
      <alignment horizontal="center" vertical="center"/>
    </xf>
    <xf numFmtId="0" fontId="5" fillId="2" borderId="40" xfId="2" applyNumberFormat="1" applyFont="1" applyFill="1" applyBorder="1" applyAlignment="1">
      <alignment horizontal="center" vertical="center"/>
    </xf>
    <xf numFmtId="0" fontId="5" fillId="2" borderId="41" xfId="2" applyNumberFormat="1" applyFont="1" applyFill="1" applyBorder="1" applyAlignment="1">
      <alignment horizontal="center" vertical="center"/>
    </xf>
    <xf numFmtId="0" fontId="5" fillId="2" borderId="42" xfId="2" applyNumberFormat="1" applyFont="1" applyFill="1" applyBorder="1" applyAlignment="1">
      <alignment horizontal="center" vertical="center"/>
    </xf>
    <xf numFmtId="0" fontId="5" fillId="2" borderId="43" xfId="2" applyNumberFormat="1" applyFont="1" applyFill="1" applyBorder="1" applyAlignment="1">
      <alignment horizontal="center" vertical="center"/>
    </xf>
    <xf numFmtId="0" fontId="5" fillId="2" borderId="44" xfId="2" applyNumberFormat="1" applyFont="1" applyFill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2" fontId="14" fillId="0" borderId="49" xfId="0" applyNumberFormat="1" applyFont="1" applyBorder="1" applyAlignment="1">
      <alignment horizontal="center"/>
    </xf>
    <xf numFmtId="2" fontId="11" fillId="0" borderId="49" xfId="0" applyNumberFormat="1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47" xfId="0" applyFont="1" applyBorder="1" applyAlignment="1">
      <alignment horizontal="center" vertical="center"/>
    </xf>
    <xf numFmtId="2" fontId="14" fillId="0" borderId="47" xfId="0" applyNumberFormat="1" applyFont="1" applyBorder="1" applyAlignment="1">
      <alignment horizontal="center"/>
    </xf>
    <xf numFmtId="2" fontId="11" fillId="0" borderId="47" xfId="0" applyNumberFormat="1" applyFont="1" applyBorder="1" applyAlignment="1">
      <alignment horizontal="center"/>
    </xf>
    <xf numFmtId="0" fontId="11" fillId="0" borderId="47" xfId="0" applyFont="1" applyBorder="1" applyAlignment="1">
      <alignment horizontal="center"/>
    </xf>
    <xf numFmtId="4" fontId="6" fillId="2" borderId="26" xfId="1" applyNumberFormat="1" applyFont="1" applyFill="1" applyBorder="1" applyAlignment="1">
      <alignment horizontal="center" vertical="center"/>
    </xf>
    <xf numFmtId="4" fontId="5" fillId="2" borderId="26" xfId="1" applyNumberFormat="1" applyFont="1" applyFill="1" applyBorder="1" applyAlignment="1">
      <alignment horizontal="center" vertical="center"/>
    </xf>
    <xf numFmtId="0" fontId="0" fillId="7" borderId="0" xfId="0" applyFill="1"/>
    <xf numFmtId="4" fontId="5" fillId="2" borderId="39" xfId="1" applyNumberFormat="1" applyFont="1" applyFill="1" applyBorder="1" applyAlignment="1">
      <alignment horizontal="center" vertical="center"/>
    </xf>
    <xf numFmtId="4" fontId="5" fillId="2" borderId="40" xfId="1" applyNumberFormat="1" applyFont="1" applyFill="1" applyBorder="1" applyAlignment="1">
      <alignment horizontal="center" vertical="center"/>
    </xf>
    <xf numFmtId="4" fontId="5" fillId="2" borderId="41" xfId="1" applyNumberFormat="1" applyFont="1" applyFill="1" applyBorder="1" applyAlignment="1">
      <alignment horizontal="center" vertical="center"/>
    </xf>
    <xf numFmtId="4" fontId="5" fillId="2" borderId="42" xfId="1" applyNumberFormat="1" applyFont="1" applyFill="1" applyBorder="1" applyAlignment="1">
      <alignment horizontal="center" vertical="center"/>
    </xf>
    <xf numFmtId="4" fontId="5" fillId="2" borderId="43" xfId="1" applyNumberFormat="1" applyFont="1" applyFill="1" applyBorder="1" applyAlignment="1">
      <alignment horizontal="center" vertical="center"/>
    </xf>
    <xf numFmtId="4" fontId="5" fillId="2" borderId="44" xfId="1" applyNumberFormat="1" applyFont="1" applyFill="1" applyBorder="1" applyAlignment="1">
      <alignment horizontal="center" vertical="center"/>
    </xf>
    <xf numFmtId="4" fontId="5" fillId="8" borderId="15" xfId="1" applyNumberFormat="1" applyFont="1" applyFill="1" applyBorder="1" applyAlignment="1">
      <alignment horizontal="center" vertical="center"/>
    </xf>
    <xf numFmtId="165" fontId="5" fillId="8" borderId="15" xfId="1" applyNumberFormat="1" applyFont="1" applyFill="1" applyBorder="1" applyAlignment="1">
      <alignment horizontal="center" vertical="center"/>
    </xf>
    <xf numFmtId="0" fontId="5" fillId="2" borderId="0" xfId="1" applyNumberFormat="1" applyFont="1" applyFill="1" applyBorder="1" applyAlignment="1">
      <alignment horizontal="center" vertical="center"/>
    </xf>
    <xf numFmtId="4" fontId="5" fillId="2" borderId="0" xfId="1" applyNumberFormat="1" applyFont="1" applyFill="1" applyBorder="1" applyAlignment="1">
      <alignment horizontal="center" vertical="center"/>
    </xf>
    <xf numFmtId="165" fontId="5" fillId="2" borderId="0" xfId="1" applyNumberFormat="1" applyFont="1" applyFill="1" applyBorder="1" applyAlignment="1">
      <alignment horizontal="center" vertical="center"/>
    </xf>
    <xf numFmtId="4" fontId="9" fillId="8" borderId="5" xfId="1" applyNumberFormat="1" applyFont="1" applyFill="1" applyBorder="1" applyAlignment="1">
      <alignment horizontal="center" vertical="center"/>
    </xf>
    <xf numFmtId="165" fontId="9" fillId="8" borderId="5" xfId="1" applyNumberFormat="1" applyFont="1" applyFill="1" applyBorder="1" applyAlignment="1">
      <alignment horizontal="center" vertical="center"/>
    </xf>
    <xf numFmtId="4" fontId="9" fillId="8" borderId="13" xfId="1" applyNumberFormat="1" applyFont="1" applyFill="1" applyBorder="1" applyAlignment="1">
      <alignment horizontal="center" vertical="center"/>
    </xf>
    <xf numFmtId="4" fontId="5" fillId="8" borderId="16" xfId="1" applyNumberFormat="1" applyFont="1" applyFill="1" applyBorder="1" applyAlignment="1">
      <alignment horizontal="center" vertical="center"/>
    </xf>
    <xf numFmtId="1" fontId="5" fillId="2" borderId="30" xfId="1" applyNumberFormat="1" applyFont="1" applyFill="1" applyBorder="1" applyAlignment="1">
      <alignment horizontal="center" vertical="center"/>
    </xf>
    <xf numFmtId="164" fontId="5" fillId="2" borderId="31" xfId="1" applyNumberFormat="1" applyFont="1" applyFill="1" applyBorder="1" applyAlignment="1">
      <alignment horizontal="center" vertical="center"/>
    </xf>
    <xf numFmtId="4" fontId="0" fillId="0" borderId="36" xfId="0" applyNumberFormat="1" applyFill="1" applyBorder="1"/>
    <xf numFmtId="4" fontId="0" fillId="0" borderId="8" xfId="0" applyNumberFormat="1" applyFill="1" applyBorder="1"/>
    <xf numFmtId="4" fontId="0" fillId="0" borderId="37" xfId="0" applyNumberFormat="1" applyFill="1" applyBorder="1"/>
    <xf numFmtId="4" fontId="9" fillId="0" borderId="59" xfId="0" applyNumberFormat="1" applyFont="1" applyFill="1" applyBorder="1" applyAlignment="1">
      <alignment horizontal="center" vertical="center"/>
    </xf>
    <xf numFmtId="168" fontId="5" fillId="0" borderId="58" xfId="0" quotePrefix="1" applyNumberFormat="1" applyFont="1" applyFill="1" applyBorder="1" applyAlignment="1">
      <alignment horizontal="left" vertical="center"/>
    </xf>
    <xf numFmtId="0" fontId="5" fillId="0" borderId="59" xfId="0" applyNumberFormat="1" applyFont="1" applyFill="1" applyBorder="1" applyAlignment="1">
      <alignment horizontal="left" vertical="center" indent="2"/>
    </xf>
    <xf numFmtId="0" fontId="5" fillId="0" borderId="60" xfId="0" applyNumberFormat="1" applyFont="1" applyFill="1" applyBorder="1" applyAlignment="1">
      <alignment horizontal="center" vertical="center"/>
    </xf>
    <xf numFmtId="4" fontId="5" fillId="0" borderId="61" xfId="0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9" xfId="0" applyNumberFormat="1" applyBorder="1"/>
    <xf numFmtId="4" fontId="9" fillId="2" borderId="17" xfId="1" applyNumberFormat="1" applyFont="1" applyFill="1" applyBorder="1" applyAlignment="1">
      <alignment horizontal="center" vertical="center"/>
    </xf>
    <xf numFmtId="4" fontId="9" fillId="2" borderId="18" xfId="1" applyNumberFormat="1" applyFont="1" applyFill="1" applyBorder="1" applyAlignment="1">
      <alignment horizontal="center" vertical="center"/>
    </xf>
    <xf numFmtId="4" fontId="9" fillId="8" borderId="18" xfId="1" applyNumberFormat="1" applyFont="1" applyFill="1" applyBorder="1" applyAlignment="1">
      <alignment horizontal="center" vertical="center"/>
    </xf>
    <xf numFmtId="4" fontId="9" fillId="8" borderId="19" xfId="1" applyNumberFormat="1" applyFont="1" applyFill="1" applyBorder="1" applyAlignment="1">
      <alignment horizontal="center" vertical="center"/>
    </xf>
    <xf numFmtId="4" fontId="9" fillId="2" borderId="5" xfId="1" applyNumberFormat="1" applyFont="1" applyFill="1" applyBorder="1" applyAlignment="1">
      <alignment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5" xfId="1" applyNumberFormat="1" applyFont="1" applyFill="1" applyBorder="1" applyAlignment="1">
      <alignment horizontal="center" vertical="center"/>
    </xf>
    <xf numFmtId="4" fontId="0" fillId="0" borderId="26" xfId="0" applyNumberFormat="1" applyFill="1" applyBorder="1"/>
    <xf numFmtId="4" fontId="0" fillId="0" borderId="16" xfId="0" applyNumberFormat="1" applyBorder="1"/>
    <xf numFmtId="4" fontId="0" fillId="0" borderId="19" xfId="0" applyNumberFormat="1" applyBorder="1"/>
    <xf numFmtId="4" fontId="0" fillId="0" borderId="72" xfId="0" applyNumberFormat="1" applyBorder="1"/>
    <xf numFmtId="4" fontId="0" fillId="0" borderId="75" xfId="0" applyNumberFormat="1" applyBorder="1"/>
    <xf numFmtId="0" fontId="0" fillId="0" borderId="9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0" xfId="0" applyAlignment="1">
      <alignment horizontal="center" vertical="center"/>
    </xf>
    <xf numFmtId="4" fontId="5" fillId="2" borderId="76" xfId="1" applyNumberFormat="1" applyFont="1" applyFill="1" applyBorder="1" applyAlignment="1">
      <alignment horizontal="center" vertical="center"/>
    </xf>
    <xf numFmtId="4" fontId="5" fillId="2" borderId="77" xfId="1" applyNumberFormat="1" applyFont="1" applyFill="1" applyBorder="1" applyAlignment="1">
      <alignment horizontal="center" vertical="center"/>
    </xf>
    <xf numFmtId="4" fontId="5" fillId="2" borderId="78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vertical="center"/>
    </xf>
    <xf numFmtId="4" fontId="9" fillId="2" borderId="31" xfId="1" applyNumberFormat="1" applyFont="1" applyFill="1" applyBorder="1" applyAlignment="1">
      <alignment vertical="center"/>
    </xf>
    <xf numFmtId="4" fontId="9" fillId="2" borderId="34" xfId="1" applyNumberFormat="1" applyFont="1" applyFill="1" applyBorder="1" applyAlignment="1">
      <alignment horizontal="center" vertical="center"/>
    </xf>
    <xf numFmtId="4" fontId="0" fillId="0" borderId="0" xfId="0" applyNumberFormat="1" applyFill="1" applyBorder="1"/>
    <xf numFmtId="0" fontId="0" fillId="9" borderId="81" xfId="0" applyFill="1" applyBorder="1" applyAlignment="1">
      <alignment vertical="center"/>
    </xf>
    <xf numFmtId="0" fontId="0" fillId="9" borderId="81" xfId="0" applyFill="1" applyBorder="1" applyAlignment="1">
      <alignment horizontal="center" vertical="center"/>
    </xf>
    <xf numFmtId="0" fontId="0" fillId="0" borderId="0" xfId="0" applyFill="1" applyBorder="1"/>
    <xf numFmtId="0" fontId="22" fillId="0" borderId="0" xfId="0" applyFont="1" applyBorder="1" applyAlignment="1">
      <alignment vertical="center"/>
    </xf>
    <xf numFmtId="4" fontId="9" fillId="10" borderId="0" xfId="1" applyNumberFormat="1" applyFont="1" applyFill="1" applyBorder="1" applyAlignment="1">
      <alignment vertical="center"/>
    </xf>
    <xf numFmtId="0" fontId="0" fillId="10" borderId="0" xfId="0" applyFill="1" applyBorder="1" applyAlignment="1">
      <alignment vertical="center"/>
    </xf>
    <xf numFmtId="4" fontId="9" fillId="9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center" vertical="center"/>
    </xf>
    <xf numFmtId="0" fontId="5" fillId="0" borderId="39" xfId="1" applyNumberFormat="1" applyFont="1" applyFill="1" applyBorder="1" applyAlignment="1">
      <alignment horizontal="center" vertical="center"/>
    </xf>
    <xf numFmtId="0" fontId="5" fillId="0" borderId="40" xfId="1" applyNumberFormat="1" applyFont="1" applyFill="1" applyBorder="1" applyAlignment="1">
      <alignment horizontal="center" vertical="center"/>
    </xf>
    <xf numFmtId="0" fontId="5" fillId="0" borderId="41" xfId="1" applyNumberFormat="1" applyFont="1" applyFill="1" applyBorder="1" applyAlignment="1">
      <alignment horizontal="center" vertical="center"/>
    </xf>
    <xf numFmtId="0" fontId="5" fillId="0" borderId="42" xfId="1" applyNumberFormat="1" applyFont="1" applyFill="1" applyBorder="1" applyAlignment="1">
      <alignment horizontal="center" vertical="center"/>
    </xf>
    <xf numFmtId="0" fontId="5" fillId="0" borderId="43" xfId="1" applyNumberFormat="1" applyFont="1" applyFill="1" applyBorder="1" applyAlignment="1">
      <alignment horizontal="center" vertical="center"/>
    </xf>
    <xf numFmtId="0" fontId="5" fillId="0" borderId="44" xfId="1" applyNumberFormat="1" applyFont="1" applyFill="1" applyBorder="1" applyAlignment="1">
      <alignment horizontal="center" vertical="center"/>
    </xf>
    <xf numFmtId="4" fontId="0" fillId="0" borderId="13" xfId="0" applyNumberFormat="1" applyBorder="1"/>
    <xf numFmtId="4" fontId="17" fillId="0" borderId="61" xfId="0" applyNumberFormat="1" applyFont="1" applyFill="1" applyBorder="1" applyAlignment="1">
      <alignment horizontal="center" vertical="center"/>
    </xf>
    <xf numFmtId="4" fontId="9" fillId="2" borderId="19" xfId="1" applyNumberFormat="1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4" fontId="0" fillId="0" borderId="0" xfId="0" applyNumberFormat="1"/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/>
    <xf numFmtId="0" fontId="0" fillId="0" borderId="19" xfId="0" applyBorder="1"/>
    <xf numFmtId="0" fontId="0" fillId="7" borderId="0" xfId="0" applyFill="1" applyAlignment="1">
      <alignment horizontal="center" vertical="center"/>
    </xf>
    <xf numFmtId="4" fontId="9" fillId="2" borderId="82" xfId="1" applyNumberFormat="1" applyFont="1" applyFill="1" applyBorder="1" applyAlignment="1">
      <alignment horizontal="center" vertical="center" wrapText="1"/>
    </xf>
    <xf numFmtId="4" fontId="9" fillId="2" borderId="15" xfId="1" applyNumberFormat="1" applyFont="1" applyFill="1" applyBorder="1" applyAlignment="1">
      <alignment horizontal="center" vertical="center" wrapText="1"/>
    </xf>
    <xf numFmtId="4" fontId="0" fillId="0" borderId="17" xfId="0" applyNumberFormat="1" applyBorder="1"/>
    <xf numFmtId="4" fontId="0" fillId="0" borderId="18" xfId="0" applyNumberFormat="1" applyBorder="1"/>
    <xf numFmtId="43" fontId="25" fillId="11" borderId="12" xfId="3" applyNumberFormat="1" applyFont="1" applyFill="1" applyBorder="1" applyAlignment="1">
      <alignment horizontal="center" vertical="center" wrapText="1"/>
    </xf>
    <xf numFmtId="0" fontId="27" fillId="0" borderId="15" xfId="0" applyFont="1" applyBorder="1" applyAlignment="1">
      <alignment vertical="center" wrapText="1"/>
    </xf>
    <xf numFmtId="0" fontId="28" fillId="0" borderId="15" xfId="0" applyFont="1" applyBorder="1" applyAlignment="1">
      <alignment horizontal="center"/>
    </xf>
    <xf numFmtId="0" fontId="28" fillId="0" borderId="15" xfId="0" applyFont="1" applyBorder="1" applyAlignment="1">
      <alignment vertical="center"/>
    </xf>
    <xf numFmtId="0" fontId="29" fillId="4" borderId="15" xfId="0" applyFont="1" applyFill="1" applyBorder="1" applyAlignment="1">
      <alignment horizontal="center" vertical="center" wrapText="1"/>
    </xf>
    <xf numFmtId="0" fontId="29" fillId="4" borderId="12" xfId="0" applyFont="1" applyFill="1" applyBorder="1" applyAlignment="1">
      <alignment horizontal="center" vertical="center" wrapText="1"/>
    </xf>
    <xf numFmtId="0" fontId="29" fillId="4" borderId="15" xfId="0" applyFont="1" applyFill="1" applyBorder="1" applyAlignment="1">
      <alignment horizontal="center"/>
    </xf>
    <xf numFmtId="0" fontId="30" fillId="0" borderId="15" xfId="0" applyFont="1" applyBorder="1" applyAlignment="1">
      <alignment horizontal="center"/>
    </xf>
    <xf numFmtId="0" fontId="29" fillId="4" borderId="15" xfId="0" applyFont="1" applyFill="1" applyBorder="1" applyAlignment="1"/>
    <xf numFmtId="0" fontId="0" fillId="0" borderId="5" xfId="0" applyBorder="1"/>
    <xf numFmtId="0" fontId="0" fillId="0" borderId="13" xfId="0" applyBorder="1"/>
    <xf numFmtId="0" fontId="0" fillId="0" borderId="18" xfId="0" applyBorder="1"/>
    <xf numFmtId="0" fontId="29" fillId="4" borderId="82" xfId="0" applyFont="1" applyFill="1" applyBorder="1" applyAlignment="1">
      <alignment horizontal="center"/>
    </xf>
    <xf numFmtId="0" fontId="29" fillId="4" borderId="42" xfId="0" applyFont="1" applyFill="1" applyBorder="1" applyAlignment="1">
      <alignment horizontal="center"/>
    </xf>
    <xf numFmtId="0" fontId="29" fillId="4" borderId="85" xfId="0" applyFont="1" applyFill="1" applyBorder="1" applyAlignment="1">
      <alignment horizontal="center"/>
    </xf>
    <xf numFmtId="0" fontId="0" fillId="0" borderId="86" xfId="0" applyBorder="1"/>
    <xf numFmtId="0" fontId="0" fillId="0" borderId="45" xfId="0" applyBorder="1"/>
    <xf numFmtId="0" fontId="0" fillId="0" borderId="46" xfId="0" applyBorder="1"/>
    <xf numFmtId="0" fontId="29" fillId="4" borderId="90" xfId="0" applyFont="1" applyFill="1" applyBorder="1" applyAlignment="1">
      <alignment horizontal="center" vertical="center" wrapText="1"/>
    </xf>
    <xf numFmtId="0" fontId="0" fillId="0" borderId="91" xfId="0" applyBorder="1"/>
    <xf numFmtId="0" fontId="0" fillId="0" borderId="81" xfId="0" applyBorder="1"/>
    <xf numFmtId="0" fontId="0" fillId="0" borderId="31" xfId="0" applyBorder="1"/>
    <xf numFmtId="0" fontId="29" fillId="4" borderId="92" xfId="0" applyFont="1" applyFill="1" applyBorder="1" applyAlignment="1">
      <alignment horizontal="center"/>
    </xf>
    <xf numFmtId="0" fontId="0" fillId="0" borderId="74" xfId="0" applyBorder="1" applyAlignment="1">
      <alignment horizontal="center"/>
    </xf>
    <xf numFmtId="0" fontId="0" fillId="0" borderId="81" xfId="0" applyFill="1" applyBorder="1" applyAlignment="1">
      <alignment horizontal="center"/>
    </xf>
    <xf numFmtId="0" fontId="0" fillId="0" borderId="91" xfId="0" applyBorder="1" applyAlignment="1">
      <alignment vertical="center"/>
    </xf>
    <xf numFmtId="0" fontId="0" fillId="0" borderId="81" xfId="0" applyBorder="1" applyAlignment="1">
      <alignment vertical="center"/>
    </xf>
    <xf numFmtId="0" fontId="5" fillId="0" borderId="59" xfId="0" applyNumberFormat="1" applyFont="1" applyFill="1" applyBorder="1" applyAlignment="1">
      <alignment horizontal="center" vertical="center"/>
    </xf>
    <xf numFmtId="0" fontId="5" fillId="0" borderId="59" xfId="0" applyNumberFormat="1" applyFont="1" applyFill="1" applyBorder="1" applyAlignment="1">
      <alignment horizontal="right" vertical="center" indent="2"/>
    </xf>
    <xf numFmtId="4" fontId="29" fillId="0" borderId="17" xfId="0" applyNumberFormat="1" applyFont="1" applyFill="1" applyBorder="1" applyAlignment="1"/>
    <xf numFmtId="0" fontId="0" fillId="0" borderId="26" xfId="0" applyBorder="1"/>
    <xf numFmtId="169" fontId="5" fillId="0" borderId="58" xfId="0" quotePrefix="1" applyNumberFormat="1" applyFont="1" applyFill="1" applyBorder="1" applyAlignment="1">
      <alignment horizontal="left" vertical="center"/>
    </xf>
    <xf numFmtId="2" fontId="17" fillId="0" borderId="58" xfId="0" quotePrefix="1" applyNumberFormat="1" applyFont="1" applyFill="1" applyBorder="1" applyAlignment="1">
      <alignment horizontal="left" vertical="center"/>
    </xf>
    <xf numFmtId="0" fontId="0" fillId="0" borderId="8" xfId="0" applyBorder="1"/>
    <xf numFmtId="0" fontId="0" fillId="0" borderId="8" xfId="0" applyFill="1" applyBorder="1"/>
    <xf numFmtId="0" fontId="0" fillId="0" borderId="0" xfId="0" applyAlignment="1">
      <alignment horizont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12" borderId="0" xfId="0" applyFont="1" applyFill="1"/>
    <xf numFmtId="0" fontId="10" fillId="12" borderId="0" xfId="0" applyFont="1" applyFill="1" applyAlignment="1">
      <alignment horizontal="center"/>
    </xf>
    <xf numFmtId="0" fontId="10" fillId="12" borderId="0" xfId="0" applyFont="1" applyFill="1" applyAlignment="1">
      <alignment horizontal="center" vertical="center"/>
    </xf>
    <xf numFmtId="0" fontId="0" fillId="12" borderId="0" xfId="0" applyFill="1"/>
    <xf numFmtId="0" fontId="10" fillId="0" borderId="0" xfId="0" applyFont="1" applyAlignment="1">
      <alignment horizontal="justify" vertical="center"/>
    </xf>
    <xf numFmtId="0" fontId="10" fillId="13" borderId="0" xfId="0" applyFont="1" applyFill="1" applyAlignment="1">
      <alignment horizontal="justify" vertical="center"/>
    </xf>
    <xf numFmtId="0" fontId="10" fillId="13" borderId="0" xfId="0" applyFont="1" applyFill="1" applyAlignment="1">
      <alignment horizontal="center" vertical="center"/>
    </xf>
    <xf numFmtId="0" fontId="0" fillId="13" borderId="0" xfId="0" applyFill="1"/>
    <xf numFmtId="0" fontId="10" fillId="12" borderId="0" xfId="0" applyFont="1" applyFill="1" applyAlignment="1">
      <alignment horizontal="justify" vertical="center"/>
    </xf>
    <xf numFmtId="0" fontId="10" fillId="13" borderId="0" xfId="0" applyFont="1" applyFill="1" applyBorder="1" applyAlignment="1">
      <alignment horizontal="justify" vertical="center"/>
    </xf>
    <xf numFmtId="0" fontId="10" fillId="13" borderId="0" xfId="0" applyFont="1" applyFill="1" applyBorder="1" applyAlignment="1">
      <alignment horizontal="center" vertical="center"/>
    </xf>
    <xf numFmtId="0" fontId="10" fillId="12" borderId="0" xfId="0" applyFont="1" applyFill="1" applyBorder="1" applyAlignment="1">
      <alignment horizontal="justify" vertical="center"/>
    </xf>
    <xf numFmtId="0" fontId="10" fillId="12" borderId="0" xfId="0" applyFont="1" applyFill="1" applyBorder="1" applyAlignment="1">
      <alignment horizontal="center" vertical="center"/>
    </xf>
    <xf numFmtId="0" fontId="10" fillId="7" borderId="0" xfId="0" applyFont="1" applyFill="1" applyAlignment="1">
      <alignment horizontal="justify" vertical="center"/>
    </xf>
    <xf numFmtId="0" fontId="10" fillId="7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justify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7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0" fillId="13" borderId="0" xfId="0" applyFont="1" applyFill="1" applyAlignment="1">
      <alignment vertical="center"/>
    </xf>
    <xf numFmtId="0" fontId="10" fillId="12" borderId="0" xfId="0" applyFont="1" applyFill="1" applyAlignment="1">
      <alignment vertical="center"/>
    </xf>
    <xf numFmtId="0" fontId="10" fillId="7" borderId="0" xfId="0" applyFont="1" applyFill="1"/>
    <xf numFmtId="0" fontId="10" fillId="7" borderId="0" xfId="0" applyFont="1" applyFill="1" applyAlignment="1">
      <alignment horizontal="center"/>
    </xf>
    <xf numFmtId="0" fontId="31" fillId="13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4" fontId="9" fillId="0" borderId="0" xfId="1" applyNumberFormat="1" applyFont="1" applyFill="1" applyBorder="1" applyAlignment="1">
      <alignment horizontal="center" vertical="center" wrapText="1"/>
    </xf>
    <xf numFmtId="4" fontId="0" fillId="7" borderId="0" xfId="0" applyNumberFormat="1" applyFill="1"/>
    <xf numFmtId="4" fontId="9" fillId="0" borderId="26" xfId="0" applyNumberFormat="1" applyFont="1" applyFill="1" applyBorder="1" applyAlignment="1">
      <alignment horizontal="center" vertical="center"/>
    </xf>
    <xf numFmtId="166" fontId="9" fillId="0" borderId="53" xfId="0" quotePrefix="1" applyNumberFormat="1" applyFont="1" applyFill="1" applyBorder="1" applyAlignment="1">
      <alignment horizontal="left" vertical="center"/>
    </xf>
    <xf numFmtId="0" fontId="9" fillId="0" borderId="54" xfId="0" applyNumberFormat="1" applyFont="1" applyFill="1" applyBorder="1" applyAlignment="1">
      <alignment horizontal="left" vertical="center"/>
    </xf>
    <xf numFmtId="0" fontId="9" fillId="0" borderId="55" xfId="0" applyNumberFormat="1" applyFont="1" applyFill="1" applyBorder="1" applyAlignment="1">
      <alignment horizontal="center" vertical="center"/>
    </xf>
    <xf numFmtId="4" fontId="9" fillId="0" borderId="56" xfId="0" applyNumberFormat="1" applyFont="1" applyFill="1" applyBorder="1" applyAlignment="1">
      <alignment horizontal="center" vertical="center"/>
    </xf>
    <xf numFmtId="4" fontId="9" fillId="0" borderId="57" xfId="0" applyNumberFormat="1" applyFont="1" applyFill="1" applyBorder="1" applyAlignment="1">
      <alignment horizontal="center" vertical="center"/>
    </xf>
    <xf numFmtId="167" fontId="9" fillId="0" borderId="58" xfId="0" quotePrefix="1" applyNumberFormat="1" applyFont="1" applyFill="1" applyBorder="1" applyAlignment="1">
      <alignment horizontal="left" vertical="center"/>
    </xf>
    <xf numFmtId="0" fontId="9" fillId="0" borderId="59" xfId="0" applyNumberFormat="1" applyFont="1" applyFill="1" applyBorder="1" applyAlignment="1">
      <alignment horizontal="left" vertical="center" indent="1"/>
    </xf>
    <xf numFmtId="0" fontId="9" fillId="0" borderId="60" xfId="0" applyNumberFormat="1" applyFont="1" applyFill="1" applyBorder="1" applyAlignment="1">
      <alignment horizontal="center" vertical="center"/>
    </xf>
    <xf numFmtId="4" fontId="9" fillId="0" borderId="61" xfId="0" applyNumberFormat="1" applyFont="1" applyFill="1" applyBorder="1" applyAlignment="1">
      <alignment horizontal="center" vertical="center"/>
    </xf>
    <xf numFmtId="0" fontId="5" fillId="0" borderId="59" xfId="0" applyNumberFormat="1" applyFont="1" applyFill="1" applyBorder="1" applyAlignment="1">
      <alignment horizontal="left" vertical="center" wrapText="1" indent="2"/>
    </xf>
    <xf numFmtId="2" fontId="5" fillId="0" borderId="58" xfId="0" quotePrefix="1" applyNumberFormat="1" applyFont="1" applyFill="1" applyBorder="1" applyAlignment="1">
      <alignment horizontal="left" vertical="center"/>
    </xf>
    <xf numFmtId="0" fontId="9" fillId="0" borderId="59" xfId="0" applyNumberFormat="1" applyFont="1" applyFill="1" applyBorder="1" applyAlignment="1">
      <alignment horizontal="center" vertical="center"/>
    </xf>
    <xf numFmtId="0" fontId="5" fillId="0" borderId="59" xfId="0" applyNumberFormat="1" applyFont="1" applyFill="1" applyBorder="1" applyAlignment="1">
      <alignment horizontal="left" vertical="center" indent="4"/>
    </xf>
    <xf numFmtId="2" fontId="16" fillId="0" borderId="58" xfId="0" quotePrefix="1" applyNumberFormat="1" applyFont="1" applyFill="1" applyBorder="1" applyAlignment="1">
      <alignment horizontal="left" vertical="center"/>
    </xf>
    <xf numFmtId="0" fontId="17" fillId="0" borderId="59" xfId="0" applyNumberFormat="1" applyFont="1" applyFill="1" applyBorder="1" applyAlignment="1">
      <alignment horizontal="left" vertical="center" indent="4"/>
    </xf>
    <xf numFmtId="0" fontId="17" fillId="0" borderId="60" xfId="0" applyNumberFormat="1" applyFont="1" applyFill="1" applyBorder="1" applyAlignment="1">
      <alignment horizontal="center" vertical="center"/>
    </xf>
    <xf numFmtId="4" fontId="18" fillId="0" borderId="59" xfId="0" applyNumberFormat="1" applyFont="1" applyFill="1" applyBorder="1" applyAlignment="1">
      <alignment horizontal="center" vertical="center"/>
    </xf>
    <xf numFmtId="168" fontId="9" fillId="0" borderId="58" xfId="0" quotePrefix="1" applyNumberFormat="1" applyFont="1" applyFill="1" applyBorder="1" applyAlignment="1">
      <alignment horizontal="left" vertical="center"/>
    </xf>
    <xf numFmtId="0" fontId="9" fillId="0" borderId="59" xfId="0" applyNumberFormat="1" applyFont="1" applyFill="1" applyBorder="1" applyAlignment="1">
      <alignment horizontal="left" vertical="center" indent="2"/>
    </xf>
    <xf numFmtId="0" fontId="5" fillId="0" borderId="59" xfId="0" applyNumberFormat="1" applyFont="1" applyFill="1" applyBorder="1" applyAlignment="1">
      <alignment horizontal="left" vertical="center" indent="3"/>
    </xf>
    <xf numFmtId="0" fontId="5" fillId="0" borderId="59" xfId="0" applyNumberFormat="1" applyFont="1" applyFill="1" applyBorder="1" applyAlignment="1">
      <alignment horizontal="left" vertical="center" wrapText="1" indent="3"/>
    </xf>
    <xf numFmtId="4" fontId="0" fillId="0" borderId="0" xfId="0" applyNumberFormat="1" applyFill="1"/>
    <xf numFmtId="0" fontId="5" fillId="0" borderId="59" xfId="0" applyNumberFormat="1" applyFont="1" applyFill="1" applyBorder="1" applyAlignment="1">
      <alignment horizontal="right" vertical="center" indent="4"/>
    </xf>
    <xf numFmtId="4" fontId="17" fillId="0" borderId="61" xfId="0" applyNumberFormat="1" applyFont="1" applyFill="1" applyBorder="1" applyAlignment="1">
      <alignment horizontal="right" vertical="center"/>
    </xf>
    <xf numFmtId="4" fontId="19" fillId="0" borderId="59" xfId="0" applyNumberFormat="1" applyFont="1" applyFill="1" applyBorder="1" applyAlignment="1">
      <alignment horizontal="center" vertical="center"/>
    </xf>
    <xf numFmtId="0" fontId="17" fillId="0" borderId="59" xfId="0" applyNumberFormat="1" applyFont="1" applyFill="1" applyBorder="1" applyAlignment="1">
      <alignment horizontal="left" vertical="center" indent="3"/>
    </xf>
    <xf numFmtId="170" fontId="17" fillId="0" borderId="61" xfId="0" applyNumberFormat="1" applyFont="1" applyFill="1" applyBorder="1" applyAlignment="1">
      <alignment horizontal="center" vertical="center"/>
    </xf>
    <xf numFmtId="0" fontId="17" fillId="0" borderId="59" xfId="0" applyNumberFormat="1" applyFont="1" applyFill="1" applyBorder="1" applyAlignment="1">
      <alignment horizontal="center" vertical="center"/>
    </xf>
    <xf numFmtId="0" fontId="17" fillId="0" borderId="59" xfId="0" applyNumberFormat="1" applyFont="1" applyFill="1" applyBorder="1" applyAlignment="1">
      <alignment horizontal="right" vertical="center" indent="3"/>
    </xf>
    <xf numFmtId="164" fontId="17" fillId="0" borderId="61" xfId="0" applyNumberFormat="1" applyFont="1" applyFill="1" applyBorder="1" applyAlignment="1">
      <alignment horizontal="center" vertical="center"/>
    </xf>
    <xf numFmtId="0" fontId="17" fillId="0" borderId="60" xfId="0" applyNumberFormat="1" applyFont="1" applyFill="1" applyBorder="1" applyAlignment="1">
      <alignment horizontal="right" vertical="center"/>
    </xf>
    <xf numFmtId="2" fontId="17" fillId="0" borderId="58" xfId="0" quotePrefix="1" applyNumberFormat="1" applyFont="1" applyFill="1" applyBorder="1" applyAlignment="1">
      <alignment vertical="center" wrapText="1"/>
    </xf>
    <xf numFmtId="0" fontId="17" fillId="0" borderId="59" xfId="0" applyNumberFormat="1" applyFont="1" applyFill="1" applyBorder="1" applyAlignment="1">
      <alignment horizontal="left" vertical="center" indent="2"/>
    </xf>
    <xf numFmtId="0" fontId="20" fillId="0" borderId="59" xfId="0" applyNumberFormat="1" applyFont="1" applyFill="1" applyBorder="1" applyAlignment="1">
      <alignment horizontal="left" vertical="center" indent="2"/>
    </xf>
    <xf numFmtId="0" fontId="9" fillId="0" borderId="59" xfId="0" applyNumberFormat="1" applyFont="1" applyFill="1" applyBorder="1" applyAlignment="1">
      <alignment horizontal="left" vertical="center"/>
    </xf>
    <xf numFmtId="0" fontId="5" fillId="0" borderId="59" xfId="0" applyNumberFormat="1" applyFont="1" applyFill="1" applyBorder="1" applyAlignment="1">
      <alignment horizontal="right" vertical="center" indent="3"/>
    </xf>
    <xf numFmtId="0" fontId="9" fillId="0" borderId="62" xfId="0" applyNumberFormat="1" applyFont="1" applyFill="1" applyBorder="1" applyAlignment="1">
      <alignment horizontal="left" vertical="center" indent="2"/>
    </xf>
    <xf numFmtId="0" fontId="5" fillId="0" borderId="63" xfId="0" applyNumberFormat="1" applyFont="1" applyFill="1" applyBorder="1" applyAlignment="1">
      <alignment horizontal="center" vertical="center"/>
    </xf>
    <xf numFmtId="4" fontId="5" fillId="0" borderId="64" xfId="0" applyNumberFormat="1" applyFont="1" applyFill="1" applyBorder="1" applyAlignment="1">
      <alignment horizontal="center" vertical="center"/>
    </xf>
    <xf numFmtId="0" fontId="5" fillId="0" borderId="62" xfId="0" applyNumberFormat="1" applyFont="1" applyFill="1" applyBorder="1" applyAlignment="1">
      <alignment horizontal="left" vertical="center" indent="3"/>
    </xf>
    <xf numFmtId="0" fontId="17" fillId="0" borderId="65" xfId="0" applyFont="1" applyFill="1" applyBorder="1"/>
    <xf numFmtId="0" fontId="17" fillId="0" borderId="66" xfId="0" applyFont="1" applyFill="1" applyBorder="1"/>
    <xf numFmtId="0" fontId="17" fillId="0" borderId="67" xfId="0" applyFont="1" applyFill="1" applyBorder="1"/>
    <xf numFmtId="4" fontId="17" fillId="0" borderId="68" xfId="0" applyNumberFormat="1" applyFont="1" applyFill="1" applyBorder="1"/>
    <xf numFmtId="4" fontId="19" fillId="0" borderId="66" xfId="0" applyNumberFormat="1" applyFont="1" applyFill="1" applyBorder="1"/>
    <xf numFmtId="0" fontId="0" fillId="0" borderId="0" xfId="0" applyFill="1" applyAlignment="1">
      <alignment horizontal="center"/>
    </xf>
    <xf numFmtId="0" fontId="11" fillId="0" borderId="47" xfId="0" applyFont="1" applyFill="1" applyBorder="1" applyAlignment="1">
      <alignment horizontal="center" vertical="center"/>
    </xf>
    <xf numFmtId="2" fontId="14" fillId="0" borderId="47" xfId="0" applyNumberFormat="1" applyFont="1" applyFill="1" applyBorder="1" applyAlignment="1">
      <alignment horizontal="center"/>
    </xf>
    <xf numFmtId="2" fontId="11" fillId="0" borderId="47" xfId="0" applyNumberFormat="1" applyFont="1" applyFill="1" applyBorder="1" applyAlignment="1">
      <alignment horizontal="center"/>
    </xf>
    <xf numFmtId="0" fontId="11" fillId="0" borderId="47" xfId="0" applyFont="1" applyFill="1" applyBorder="1" applyAlignment="1">
      <alignment horizontal="center"/>
    </xf>
    <xf numFmtId="0" fontId="11" fillId="0" borderId="49" xfId="0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4" fontId="5" fillId="0" borderId="42" xfId="1" applyNumberFormat="1" applyFont="1" applyFill="1" applyBorder="1" applyAlignment="1">
      <alignment horizontal="center" vertical="center"/>
    </xf>
    <xf numFmtId="4" fontId="5" fillId="0" borderId="43" xfId="1" applyNumberFormat="1" applyFont="1" applyFill="1" applyBorder="1" applyAlignment="1">
      <alignment horizontal="center" vertical="center"/>
    </xf>
    <xf numFmtId="4" fontId="5" fillId="0" borderId="44" xfId="1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horizontal="center" vertical="center"/>
    </xf>
    <xf numFmtId="0" fontId="0" fillId="0" borderId="42" xfId="0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5" fillId="11" borderId="12" xfId="0" applyFont="1" applyFill="1" applyBorder="1" applyAlignment="1">
      <alignment horizontal="center" vertical="center" wrapText="1"/>
    </xf>
    <xf numFmtId="2" fontId="0" fillId="0" borderId="91" xfId="0" applyNumberFormat="1" applyBorder="1" applyAlignment="1">
      <alignment vertical="center"/>
    </xf>
    <xf numFmtId="4" fontId="30" fillId="0" borderId="15" xfId="0" applyNumberFormat="1" applyFont="1" applyBorder="1" applyAlignment="1">
      <alignment horizontal="center" vertical="center"/>
    </xf>
    <xf numFmtId="4" fontId="0" fillId="0" borderId="43" xfId="0" applyNumberFormat="1" applyBorder="1" applyAlignment="1">
      <alignment horizontal="center" vertical="center"/>
    </xf>
    <xf numFmtId="4" fontId="0" fillId="0" borderId="88" xfId="0" applyNumberFormat="1" applyBorder="1" applyAlignment="1">
      <alignment horizontal="center" vertical="center"/>
    </xf>
    <xf numFmtId="4" fontId="30" fillId="0" borderId="15" xfId="0" applyNumberFormat="1" applyFont="1" applyBorder="1" applyAlignment="1">
      <alignment horizontal="center"/>
    </xf>
    <xf numFmtId="4" fontId="0" fillId="0" borderId="87" xfId="0" applyNumberFormat="1" applyBorder="1" applyAlignment="1">
      <alignment horizontal="center" vertical="center"/>
    </xf>
    <xf numFmtId="4" fontId="0" fillId="0" borderId="89" xfId="0" applyNumberForma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/>
    </xf>
    <xf numFmtId="0" fontId="5" fillId="0" borderId="58" xfId="0" applyNumberFormat="1" applyFont="1" applyFill="1" applyBorder="1" applyAlignment="1">
      <alignment horizontal="center" vertical="center"/>
    </xf>
    <xf numFmtId="0" fontId="17" fillId="0" borderId="58" xfId="0" applyNumberFormat="1" applyFont="1" applyFill="1" applyBorder="1" applyAlignment="1">
      <alignment horizontal="center" vertical="center"/>
    </xf>
    <xf numFmtId="0" fontId="17" fillId="0" borderId="59" xfId="0" applyNumberFormat="1" applyFont="1" applyFill="1" applyBorder="1" applyAlignment="1">
      <alignment horizontal="left" vertical="center" wrapText="1" indent="3"/>
    </xf>
    <xf numFmtId="4" fontId="9" fillId="0" borderId="0" xfId="0" applyNumberFormat="1" applyFont="1" applyFill="1" applyBorder="1" applyAlignment="1">
      <alignment horizontal="center" vertical="center"/>
    </xf>
    <xf numFmtId="168" fontId="5" fillId="0" borderId="0" xfId="0" quotePrefix="1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 indent="2"/>
    </xf>
    <xf numFmtId="0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168" fontId="9" fillId="0" borderId="0" xfId="0" quotePrefix="1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left" vertical="center" indent="2"/>
    </xf>
    <xf numFmtId="169" fontId="5" fillId="0" borderId="0" xfId="0" quotePrefix="1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 indent="3"/>
    </xf>
    <xf numFmtId="0" fontId="17" fillId="0" borderId="0" xfId="0" applyFont="1" applyFill="1" applyBorder="1"/>
    <xf numFmtId="4" fontId="17" fillId="0" borderId="0" xfId="0" applyNumberFormat="1" applyFont="1" applyFill="1" applyBorder="1"/>
    <xf numFmtId="4" fontId="19" fillId="0" borderId="0" xfId="0" applyNumberFormat="1" applyFont="1" applyFill="1" applyBorder="1"/>
    <xf numFmtId="0" fontId="0" fillId="0" borderId="26" xfId="0" applyBorder="1" applyAlignment="1">
      <alignment horizontal="center" vertical="center"/>
    </xf>
    <xf numFmtId="1" fontId="0" fillId="0" borderId="26" xfId="0" applyNumberFormat="1" applyBorder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6" fillId="2" borderId="0" xfId="0" applyFont="1" applyFill="1" applyBorder="1" applyAlignment="1">
      <alignment horizontal="center" vertical="center"/>
    </xf>
    <xf numFmtId="0" fontId="26" fillId="2" borderId="0" xfId="0" applyFont="1" applyFill="1" applyAlignment="1">
      <alignment horizontal="center" vertical="center"/>
    </xf>
    <xf numFmtId="0" fontId="15" fillId="0" borderId="0" xfId="0" applyFont="1" applyBorder="1" applyAlignment="1">
      <alignment horizontal="center"/>
    </xf>
    <xf numFmtId="4" fontId="9" fillId="8" borderId="0" xfId="1" applyNumberFormat="1" applyFont="1" applyFill="1" applyBorder="1" applyAlignment="1">
      <alignment horizontal="center" vertical="center"/>
    </xf>
    <xf numFmtId="4" fontId="5" fillId="8" borderId="0" xfId="1" applyNumberFormat="1" applyFont="1" applyFill="1" applyBorder="1" applyAlignment="1">
      <alignment horizontal="center" vertical="center"/>
    </xf>
    <xf numFmtId="4" fontId="9" fillId="0" borderId="0" xfId="1" applyNumberFormat="1" applyFont="1" applyFill="1" applyBorder="1" applyAlignment="1">
      <alignment horizontal="center" vertical="center"/>
    </xf>
    <xf numFmtId="164" fontId="5" fillId="2" borderId="0" xfId="1" applyNumberFormat="1" applyFont="1" applyFill="1" applyBorder="1" applyAlignment="1">
      <alignment horizontal="center" vertical="center"/>
    </xf>
    <xf numFmtId="4" fontId="5" fillId="2" borderId="96" xfId="1" applyNumberFormat="1" applyFont="1" applyFill="1" applyBorder="1" applyAlignment="1">
      <alignment horizontal="center" vertical="center"/>
    </xf>
    <xf numFmtId="4" fontId="5" fillId="2" borderId="47" xfId="1" applyNumberFormat="1" applyFont="1" applyFill="1" applyBorder="1" applyAlignment="1">
      <alignment horizontal="center" vertical="center"/>
    </xf>
    <xf numFmtId="4" fontId="5" fillId="2" borderId="48" xfId="1" applyNumberFormat="1" applyFont="1" applyFill="1" applyBorder="1" applyAlignment="1">
      <alignment horizontal="center" vertical="center"/>
    </xf>
    <xf numFmtId="4" fontId="5" fillId="0" borderId="61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8" fillId="0" borderId="0" xfId="0" applyFont="1" applyFill="1"/>
    <xf numFmtId="4" fontId="5" fillId="0" borderId="61" xfId="0" applyNumberFormat="1" applyFont="1" applyFill="1" applyBorder="1" applyAlignment="1">
      <alignment horizontal="right" vertical="center"/>
    </xf>
    <xf numFmtId="170" fontId="5" fillId="0" borderId="61" xfId="0" applyNumberFormat="1" applyFont="1" applyFill="1" applyBorder="1" applyAlignment="1">
      <alignment horizontal="center" vertical="center"/>
    </xf>
    <xf numFmtId="164" fontId="5" fillId="0" borderId="61" xfId="0" applyNumberFormat="1" applyFont="1" applyFill="1" applyBorder="1" applyAlignment="1">
      <alignment horizontal="center" vertical="center"/>
    </xf>
    <xf numFmtId="0" fontId="5" fillId="0" borderId="60" xfId="0" applyNumberFormat="1" applyFont="1" applyFill="1" applyBorder="1" applyAlignment="1">
      <alignment horizontal="right" vertical="center"/>
    </xf>
    <xf numFmtId="2" fontId="5" fillId="0" borderId="58" xfId="0" quotePrefix="1" applyNumberFormat="1" applyFont="1" applyFill="1" applyBorder="1" applyAlignment="1">
      <alignment vertical="center" wrapText="1"/>
    </xf>
    <xf numFmtId="0" fontId="5" fillId="0" borderId="65" xfId="0" applyFont="1" applyFill="1" applyBorder="1"/>
    <xf numFmtId="0" fontId="5" fillId="0" borderId="66" xfId="0" applyFont="1" applyFill="1" applyBorder="1"/>
    <xf numFmtId="0" fontId="5" fillId="0" borderId="67" xfId="0" applyFont="1" applyFill="1" applyBorder="1"/>
    <xf numFmtId="4" fontId="5" fillId="0" borderId="68" xfId="0" applyNumberFormat="1" applyFont="1" applyFill="1" applyBorder="1"/>
    <xf numFmtId="4" fontId="9" fillId="0" borderId="66" xfId="0" applyNumberFormat="1" applyFont="1" applyFill="1" applyBorder="1"/>
    <xf numFmtId="0" fontId="8" fillId="0" borderId="90" xfId="0" applyFont="1" applyFill="1" applyBorder="1" applyAlignment="1">
      <alignment horizontal="center" vertical="center"/>
    </xf>
    <xf numFmtId="2" fontId="2" fillId="0" borderId="38" xfId="0" applyNumberFormat="1" applyFont="1" applyFill="1" applyBorder="1" applyAlignment="1">
      <alignment horizontal="center" vertical="center"/>
    </xf>
    <xf numFmtId="0" fontId="8" fillId="0" borderId="91" xfId="0" applyFont="1" applyFill="1" applyBorder="1" applyAlignment="1">
      <alignment horizontal="center" vertical="center"/>
    </xf>
    <xf numFmtId="2" fontId="2" fillId="0" borderId="100" xfId="0" applyNumberFormat="1" applyFont="1" applyFill="1" applyBorder="1" applyAlignment="1">
      <alignment horizontal="center" vertical="center"/>
    </xf>
    <xf numFmtId="0" fontId="8" fillId="0" borderId="81" xfId="0" applyFont="1" applyFill="1" applyBorder="1" applyAlignment="1">
      <alignment horizontal="center" vertical="center"/>
    </xf>
    <xf numFmtId="2" fontId="2" fillId="0" borderId="52" xfId="0" applyNumberFormat="1" applyFont="1" applyFill="1" applyBorder="1" applyAlignment="1">
      <alignment horizontal="center" vertical="center"/>
    </xf>
    <xf numFmtId="0" fontId="8" fillId="0" borderId="97" xfId="0" applyFont="1" applyFill="1" applyBorder="1" applyAlignment="1">
      <alignment horizontal="center" vertical="center"/>
    </xf>
    <xf numFmtId="2" fontId="2" fillId="0" borderId="99" xfId="0" applyNumberFormat="1" applyFont="1" applyFill="1" applyBorder="1" applyAlignment="1">
      <alignment horizontal="center" vertical="center"/>
    </xf>
    <xf numFmtId="0" fontId="8" fillId="0" borderId="104" xfId="0" applyFont="1" applyFill="1" applyBorder="1" applyAlignment="1">
      <alignment horizontal="center" vertical="center"/>
    </xf>
    <xf numFmtId="2" fontId="2" fillId="0" borderId="101" xfId="0" applyNumberFormat="1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2" fontId="2" fillId="0" borderId="37" xfId="0" applyNumberFormat="1" applyFont="1" applyFill="1" applyBorder="1" applyAlignment="1">
      <alignment horizontal="center" vertical="center"/>
    </xf>
    <xf numFmtId="0" fontId="8" fillId="0" borderId="109" xfId="0" applyFont="1" applyFill="1" applyBorder="1" applyAlignment="1">
      <alignment horizontal="center" vertical="center"/>
    </xf>
    <xf numFmtId="2" fontId="2" fillId="0" borderId="31" xfId="0" applyNumberFormat="1" applyFont="1" applyFill="1" applyBorder="1" applyAlignment="1">
      <alignment horizontal="center" vertical="center"/>
    </xf>
    <xf numFmtId="1" fontId="2" fillId="0" borderId="84" xfId="0" applyNumberFormat="1" applyFont="1" applyFill="1" applyBorder="1" applyAlignment="1">
      <alignment horizontal="center" vertical="center"/>
    </xf>
    <xf numFmtId="0" fontId="8" fillId="0" borderId="84" xfId="0" applyFont="1" applyFill="1" applyBorder="1"/>
    <xf numFmtId="0" fontId="8" fillId="0" borderId="5" xfId="0" applyFont="1" applyFill="1" applyBorder="1"/>
    <xf numFmtId="0" fontId="8" fillId="0" borderId="5" xfId="0" applyFont="1" applyFill="1" applyBorder="1" applyAlignment="1">
      <alignment horizontal="center" vertical="center"/>
    </xf>
    <xf numFmtId="1" fontId="2" fillId="0" borderId="105" xfId="0" applyNumberFormat="1" applyFont="1" applyFill="1" applyBorder="1" applyAlignment="1">
      <alignment horizontal="center" vertical="center"/>
    </xf>
    <xf numFmtId="43" fontId="8" fillId="0" borderId="5" xfId="0" applyNumberFormat="1" applyFont="1" applyFill="1" applyBorder="1"/>
    <xf numFmtId="43" fontId="2" fillId="0" borderId="5" xfId="3" applyNumberFormat="1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05" xfId="0" applyFont="1" applyFill="1" applyBorder="1"/>
    <xf numFmtId="0" fontId="5" fillId="0" borderId="105" xfId="1" applyNumberFormat="1" applyFont="1" applyFill="1" applyBorder="1" applyAlignment="1">
      <alignment horizontal="center" vertical="center"/>
    </xf>
    <xf numFmtId="0" fontId="8" fillId="0" borderId="106" xfId="0" applyFont="1" applyFill="1" applyBorder="1" applyAlignment="1">
      <alignment horizontal="center" vertical="center"/>
    </xf>
    <xf numFmtId="0" fontId="8" fillId="0" borderId="15" xfId="0" applyFont="1" applyFill="1" applyBorder="1"/>
    <xf numFmtId="0" fontId="8" fillId="0" borderId="15" xfId="0" applyFont="1" applyFill="1" applyBorder="1" applyAlignment="1">
      <alignment horizontal="center" vertical="center"/>
    </xf>
    <xf numFmtId="43" fontId="8" fillId="0" borderId="15" xfId="0" applyNumberFormat="1" applyFont="1" applyFill="1" applyBorder="1"/>
    <xf numFmtId="43" fontId="2" fillId="0" borderId="15" xfId="3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5" fillId="0" borderId="84" xfId="1" applyNumberFormat="1" applyFont="1" applyFill="1" applyBorder="1" applyAlignment="1">
      <alignment horizontal="center" vertical="center"/>
    </xf>
    <xf numFmtId="0" fontId="8" fillId="0" borderId="95" xfId="0" applyFont="1" applyFill="1" applyBorder="1" applyAlignment="1">
      <alignment horizontal="center" vertical="center"/>
    </xf>
    <xf numFmtId="0" fontId="8" fillId="0" borderId="18" xfId="0" applyFont="1" applyFill="1" applyBorder="1"/>
    <xf numFmtId="0" fontId="8" fillId="0" borderId="18" xfId="0" applyFont="1" applyFill="1" applyBorder="1" applyAlignment="1">
      <alignment horizontal="center" vertical="center"/>
    </xf>
    <xf numFmtId="1" fontId="2" fillId="0" borderId="102" xfId="0" applyNumberFormat="1" applyFont="1" applyFill="1" applyBorder="1" applyAlignment="1">
      <alignment horizontal="center" vertical="center"/>
    </xf>
    <xf numFmtId="43" fontId="8" fillId="0" borderId="18" xfId="0" applyNumberFormat="1" applyFont="1" applyFill="1" applyBorder="1"/>
    <xf numFmtId="43" fontId="2" fillId="0" borderId="18" xfId="3" applyNumberFormat="1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02" xfId="0" applyFont="1" applyFill="1" applyBorder="1"/>
    <xf numFmtId="0" fontId="5" fillId="0" borderId="102" xfId="1" applyNumberFormat="1" applyFont="1" applyFill="1" applyBorder="1" applyAlignment="1">
      <alignment horizontal="center" vertical="center"/>
    </xf>
    <xf numFmtId="0" fontId="8" fillId="0" borderId="103" xfId="0" applyFont="1" applyFill="1" applyBorder="1" applyAlignment="1">
      <alignment horizontal="center" vertical="center"/>
    </xf>
    <xf numFmtId="0" fontId="8" fillId="0" borderId="74" xfId="0" applyFont="1" applyFill="1" applyBorder="1"/>
    <xf numFmtId="0" fontId="8" fillId="0" borderId="74" xfId="0" applyFont="1" applyFill="1" applyBorder="1" applyAlignment="1">
      <alignment horizontal="center" vertical="center"/>
    </xf>
    <xf numFmtId="43" fontId="8" fillId="0" borderId="74" xfId="0" applyNumberFormat="1" applyFont="1" applyFill="1" applyBorder="1"/>
    <xf numFmtId="43" fontId="2" fillId="0" borderId="74" xfId="3" applyNumberFormat="1" applyFont="1" applyFill="1" applyBorder="1" applyAlignment="1">
      <alignment horizontal="center" vertical="center"/>
    </xf>
    <xf numFmtId="0" fontId="8" fillId="0" borderId="75" xfId="0" applyFont="1" applyFill="1" applyBorder="1" applyAlignment="1">
      <alignment horizontal="center" vertical="center"/>
    </xf>
    <xf numFmtId="0" fontId="8" fillId="0" borderId="12" xfId="0" applyFont="1" applyFill="1" applyBorder="1"/>
    <xf numFmtId="0" fontId="8" fillId="0" borderId="12" xfId="0" applyFont="1" applyFill="1" applyBorder="1" applyAlignment="1">
      <alignment horizontal="center" vertical="center"/>
    </xf>
    <xf numFmtId="43" fontId="8" fillId="0" borderId="12" xfId="0" applyNumberFormat="1" applyFont="1" applyFill="1" applyBorder="1"/>
    <xf numFmtId="43" fontId="2" fillId="0" borderId="12" xfId="3" applyNumberFormat="1" applyFont="1" applyFill="1" applyBorder="1" applyAlignment="1">
      <alignment horizontal="center" vertical="center"/>
    </xf>
    <xf numFmtId="0" fontId="8" fillId="0" borderId="8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69" xfId="0" applyFont="1" applyFill="1" applyBorder="1"/>
    <xf numFmtId="0" fontId="8" fillId="0" borderId="69" xfId="0" applyFont="1" applyFill="1" applyBorder="1" applyAlignment="1">
      <alignment horizontal="center" vertical="center"/>
    </xf>
    <xf numFmtId="1" fontId="2" fillId="0" borderId="107" xfId="0" applyNumberFormat="1" applyFont="1" applyFill="1" applyBorder="1" applyAlignment="1">
      <alignment horizontal="center" vertical="center"/>
    </xf>
    <xf numFmtId="43" fontId="8" fillId="0" borderId="69" xfId="0" applyNumberFormat="1" applyFont="1" applyFill="1" applyBorder="1"/>
    <xf numFmtId="43" fontId="2" fillId="0" borderId="69" xfId="3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7" xfId="0" applyFont="1" applyFill="1" applyBorder="1"/>
    <xf numFmtId="0" fontId="5" fillId="0" borderId="107" xfId="1" applyNumberFormat="1" applyFont="1" applyFill="1" applyBorder="1" applyAlignment="1">
      <alignment horizontal="center" vertical="center"/>
    </xf>
    <xf numFmtId="0" fontId="8" fillId="0" borderId="108" xfId="0" applyFont="1" applyFill="1" applyBorder="1" applyAlignment="1">
      <alignment horizontal="center" vertical="center"/>
    </xf>
    <xf numFmtId="0" fontId="8" fillId="0" borderId="93" xfId="0" applyFont="1" applyFill="1" applyBorder="1" applyAlignment="1">
      <alignment horizontal="center" vertical="center"/>
    </xf>
    <xf numFmtId="0" fontId="8" fillId="0" borderId="20" xfId="0" applyFont="1" applyFill="1" applyBorder="1"/>
    <xf numFmtId="0" fontId="8" fillId="0" borderId="20" xfId="0" applyFont="1" applyFill="1" applyBorder="1" applyAlignment="1">
      <alignment horizontal="center" vertical="center"/>
    </xf>
    <xf numFmtId="43" fontId="8" fillId="0" borderId="20" xfId="0" applyNumberFormat="1" applyFont="1" applyFill="1" applyBorder="1"/>
    <xf numFmtId="43" fontId="2" fillId="0" borderId="20" xfId="3" applyNumberFormat="1" applyFont="1" applyFill="1" applyBorder="1" applyAlignment="1">
      <alignment horizontal="center" vertical="center"/>
    </xf>
    <xf numFmtId="0" fontId="8" fillId="0" borderId="94" xfId="0" applyFont="1" applyFill="1" applyBorder="1" applyAlignment="1">
      <alignment horizontal="center" vertical="center"/>
    </xf>
    <xf numFmtId="0" fontId="8" fillId="0" borderId="16" xfId="0" applyFont="1" applyFill="1" applyBorder="1"/>
    <xf numFmtId="0" fontId="8" fillId="0" borderId="13" xfId="0" applyFont="1" applyFill="1" applyBorder="1"/>
    <xf numFmtId="0" fontId="8" fillId="0" borderId="75" xfId="0" applyFont="1" applyFill="1" applyBorder="1"/>
    <xf numFmtId="0" fontId="8" fillId="0" borderId="83" xfId="0" applyFont="1" applyFill="1" applyBorder="1"/>
    <xf numFmtId="0" fontId="8" fillId="0" borderId="19" xfId="0" applyFont="1" applyFill="1" applyBorder="1"/>
    <xf numFmtId="2" fontId="8" fillId="0" borderId="0" xfId="0" applyNumberFormat="1" applyFont="1" applyFill="1"/>
    <xf numFmtId="0" fontId="32" fillId="14" borderId="4" xfId="0" applyFont="1" applyFill="1" applyBorder="1" applyAlignment="1">
      <alignment horizontal="center" vertical="center"/>
    </xf>
    <xf numFmtId="0" fontId="32" fillId="14" borderId="71" xfId="3" applyNumberFormat="1" applyFont="1" applyFill="1" applyBorder="1" applyAlignment="1">
      <alignment vertical="center" wrapText="1"/>
    </xf>
    <xf numFmtId="0" fontId="32" fillId="14" borderId="26" xfId="0" applyFont="1" applyFill="1" applyBorder="1" applyAlignment="1">
      <alignment horizontal="center" vertical="center" wrapText="1"/>
    </xf>
    <xf numFmtId="43" fontId="32" fillId="14" borderId="26" xfId="3" applyNumberFormat="1" applyFont="1" applyFill="1" applyBorder="1" applyAlignment="1">
      <alignment horizontal="center" vertical="center" wrapText="1"/>
    </xf>
    <xf numFmtId="171" fontId="32" fillId="14" borderId="26" xfId="3" applyNumberFormat="1" applyFont="1" applyFill="1" applyBorder="1" applyAlignment="1">
      <alignment horizontal="center" vertical="center" wrapText="1"/>
    </xf>
    <xf numFmtId="0" fontId="32" fillId="14" borderId="80" xfId="0" applyFont="1" applyFill="1" applyBorder="1" applyAlignment="1">
      <alignment horizontal="center" vertical="center" wrapText="1"/>
    </xf>
    <xf numFmtId="0" fontId="32" fillId="14" borderId="18" xfId="0" applyFont="1" applyFill="1" applyBorder="1" applyAlignment="1">
      <alignment horizontal="center" vertical="center" wrapText="1"/>
    </xf>
    <xf numFmtId="43" fontId="32" fillId="14" borderId="18" xfId="3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/>
    </xf>
    <xf numFmtId="4" fontId="9" fillId="5" borderId="113" xfId="1" applyNumberFormat="1" applyFont="1" applyFill="1" applyBorder="1" applyAlignment="1">
      <alignment horizontal="center" vertical="center" wrapText="1"/>
    </xf>
    <xf numFmtId="0" fontId="9" fillId="5" borderId="114" xfId="1" applyNumberFormat="1" applyFont="1" applyFill="1" applyBorder="1" applyAlignment="1">
      <alignment horizontal="center" vertical="center" wrapText="1"/>
    </xf>
    <xf numFmtId="4" fontId="9" fillId="5" borderId="114" xfId="1" applyNumberFormat="1" applyFont="1" applyFill="1" applyBorder="1" applyAlignment="1">
      <alignment horizontal="center" vertical="center" wrapText="1"/>
    </xf>
    <xf numFmtId="165" fontId="9" fillId="5" borderId="114" xfId="1" applyNumberFormat="1" applyFont="1" applyFill="1" applyBorder="1" applyAlignment="1" applyProtection="1">
      <alignment horizontal="center" vertical="center" wrapText="1"/>
      <protection locked="0"/>
    </xf>
    <xf numFmtId="165" fontId="9" fillId="5" borderId="114" xfId="1" applyNumberFormat="1" applyFont="1" applyFill="1" applyBorder="1" applyAlignment="1">
      <alignment horizontal="center" vertical="center" wrapText="1"/>
    </xf>
    <xf numFmtId="164" fontId="9" fillId="5" borderId="115" xfId="1" applyNumberFormat="1" applyFont="1" applyFill="1" applyBorder="1" applyAlignment="1">
      <alignment horizontal="center" vertical="center" wrapText="1"/>
    </xf>
    <xf numFmtId="4" fontId="9" fillId="5" borderId="116" xfId="1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13" borderId="15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14" xfId="0" applyFont="1" applyBorder="1" applyAlignment="1">
      <alignment vertical="center"/>
    </xf>
    <xf numFmtId="0" fontId="10" fillId="12" borderId="14" xfId="0" applyFont="1" applyFill="1" applyBorder="1"/>
    <xf numFmtId="0" fontId="0" fillId="12" borderId="16" xfId="0" applyFill="1" applyBorder="1"/>
    <xf numFmtId="0" fontId="10" fillId="0" borderId="14" xfId="0" applyFont="1" applyBorder="1" applyAlignment="1">
      <alignment horizontal="justify" vertical="center"/>
    </xf>
    <xf numFmtId="0" fontId="10" fillId="13" borderId="14" xfId="0" applyFont="1" applyFill="1" applyBorder="1" applyAlignment="1">
      <alignment horizontal="justify" vertical="center"/>
    </xf>
    <xf numFmtId="0" fontId="0" fillId="13" borderId="16" xfId="0" applyFill="1" applyBorder="1"/>
    <xf numFmtId="0" fontId="10" fillId="12" borderId="14" xfId="0" applyFont="1" applyFill="1" applyBorder="1" applyAlignment="1">
      <alignment horizontal="justify" vertical="center"/>
    </xf>
    <xf numFmtId="0" fontId="10" fillId="7" borderId="14" xfId="0" applyFont="1" applyFill="1" applyBorder="1" applyAlignment="1">
      <alignment horizontal="justify" vertical="center"/>
    </xf>
    <xf numFmtId="0" fontId="0" fillId="7" borderId="16" xfId="0" applyFill="1" applyBorder="1"/>
    <xf numFmtId="0" fontId="0" fillId="0" borderId="16" xfId="0" applyFill="1" applyBorder="1"/>
    <xf numFmtId="0" fontId="10" fillId="0" borderId="14" xfId="0" applyFont="1" applyFill="1" applyBorder="1" applyAlignment="1">
      <alignment horizontal="justify" vertical="center"/>
    </xf>
    <xf numFmtId="0" fontId="10" fillId="0" borderId="14" xfId="0" applyFont="1" applyBorder="1"/>
    <xf numFmtId="0" fontId="10" fillId="7" borderId="14" xfId="0" applyFont="1" applyFill="1" applyBorder="1" applyAlignment="1">
      <alignment vertical="center"/>
    </xf>
    <xf numFmtId="0" fontId="10" fillId="0" borderId="14" xfId="0" applyFont="1" applyFill="1" applyBorder="1" applyAlignment="1">
      <alignment vertical="center"/>
    </xf>
    <xf numFmtId="0" fontId="10" fillId="13" borderId="14" xfId="0" applyFont="1" applyFill="1" applyBorder="1" applyAlignment="1">
      <alignment vertical="center"/>
    </xf>
    <xf numFmtId="0" fontId="10" fillId="12" borderId="14" xfId="0" applyFont="1" applyFill="1" applyBorder="1" applyAlignment="1">
      <alignment vertical="center"/>
    </xf>
    <xf numFmtId="0" fontId="10" fillId="7" borderId="14" xfId="0" applyFont="1" applyFill="1" applyBorder="1"/>
    <xf numFmtId="0" fontId="10" fillId="0" borderId="14" xfId="0" applyFont="1" applyBorder="1" applyAlignment="1">
      <alignment horizontal="center" vertical="center"/>
    </xf>
    <xf numFmtId="0" fontId="10" fillId="13" borderId="17" xfId="0" applyFont="1" applyFill="1" applyBorder="1" applyAlignment="1">
      <alignment horizontal="center" vertical="center"/>
    </xf>
    <xf numFmtId="0" fontId="10" fillId="13" borderId="18" xfId="0" applyFont="1" applyFill="1" applyBorder="1" applyAlignment="1">
      <alignment horizontal="center" vertical="center"/>
    </xf>
    <xf numFmtId="0" fontId="0" fillId="13" borderId="19" xfId="0" applyFill="1" applyBorder="1"/>
    <xf numFmtId="0" fontId="10" fillId="0" borderId="73" xfId="0" applyFont="1" applyBorder="1" applyAlignment="1">
      <alignment vertical="center"/>
    </xf>
    <xf numFmtId="0" fontId="10" fillId="0" borderId="74" xfId="0" applyFont="1" applyBorder="1" applyAlignment="1">
      <alignment horizontal="center" vertical="center"/>
    </xf>
    <xf numFmtId="0" fontId="0" fillId="0" borderId="75" xfId="0" applyBorder="1"/>
    <xf numFmtId="0" fontId="4" fillId="2" borderId="7" xfId="2" applyNumberFormat="1" applyFont="1" applyFill="1" applyBorder="1" applyAlignment="1">
      <alignment horizontal="center" vertical="center"/>
    </xf>
    <xf numFmtId="0" fontId="4" fillId="2" borderId="69" xfId="2" applyFont="1" applyFill="1" applyBorder="1" applyAlignment="1">
      <alignment horizontal="center" vertical="center"/>
    </xf>
    <xf numFmtId="0" fontId="4" fillId="2" borderId="9" xfId="2" applyFont="1" applyFill="1" applyBorder="1" applyAlignment="1">
      <alignment horizontal="center" vertical="center"/>
    </xf>
    <xf numFmtId="4" fontId="6" fillId="2" borderId="17" xfId="2" applyNumberFormat="1" applyFont="1" applyFill="1" applyBorder="1" applyAlignment="1">
      <alignment horizontal="center" vertical="center"/>
    </xf>
    <xf numFmtId="4" fontId="12" fillId="2" borderId="80" xfId="2" applyNumberFormat="1" applyFont="1" applyFill="1" applyBorder="1" applyAlignment="1">
      <alignment horizontal="center" vertical="center"/>
    </xf>
    <xf numFmtId="4" fontId="6" fillId="2" borderId="80" xfId="2" applyNumberFormat="1" applyFont="1" applyFill="1" applyBorder="1" applyAlignment="1">
      <alignment horizontal="center" vertical="center"/>
    </xf>
    <xf numFmtId="4" fontId="5" fillId="2" borderId="18" xfId="2" applyNumberFormat="1" applyFont="1" applyFill="1" applyBorder="1" applyAlignment="1">
      <alignment horizontal="center" vertical="center"/>
    </xf>
    <xf numFmtId="4" fontId="5" fillId="2" borderId="19" xfId="2" applyNumberFormat="1" applyFont="1" applyFill="1" applyBorder="1" applyAlignment="1">
      <alignment horizontal="center" vertical="center"/>
    </xf>
    <xf numFmtId="0" fontId="33" fillId="2" borderId="0" xfId="0" applyFont="1" applyFill="1"/>
    <xf numFmtId="0" fontId="0" fillId="12" borderId="15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8" xfId="0" applyFont="1" applyFill="1" applyBorder="1" applyAlignment="1">
      <alignment horizontal="center" vertical="center" wrapText="1"/>
    </xf>
    <xf numFmtId="4" fontId="5" fillId="2" borderId="3" xfId="2" applyNumberFormat="1" applyFont="1" applyFill="1" applyBorder="1" applyAlignment="1">
      <alignment horizontal="center" vertical="center"/>
    </xf>
    <xf numFmtId="4" fontId="5" fillId="2" borderId="4" xfId="2" applyNumberFormat="1" applyFont="1" applyFill="1" applyBorder="1" applyAlignment="1">
      <alignment horizontal="center" vertical="center"/>
    </xf>
    <xf numFmtId="4" fontId="5" fillId="2" borderId="5" xfId="2" applyNumberFormat="1" applyFont="1" applyFill="1" applyBorder="1" applyAlignment="1">
      <alignment horizontal="center" vertical="center"/>
    </xf>
    <xf numFmtId="4" fontId="5" fillId="2" borderId="2" xfId="2" applyNumberFormat="1" applyFont="1" applyFill="1" applyBorder="1" applyAlignment="1">
      <alignment horizontal="center" vertical="center"/>
    </xf>
    <xf numFmtId="4" fontId="5" fillId="2" borderId="6" xfId="2" applyNumberFormat="1" applyFont="1" applyFill="1" applyBorder="1" applyAlignment="1">
      <alignment horizontal="center" vertical="center"/>
    </xf>
    <xf numFmtId="4" fontId="5" fillId="2" borderId="7" xfId="2" applyNumberFormat="1" applyFont="1" applyFill="1" applyBorder="1" applyAlignment="1">
      <alignment horizontal="center" vertical="center"/>
    </xf>
    <xf numFmtId="4" fontId="5" fillId="2" borderId="8" xfId="2" applyNumberFormat="1" applyFont="1" applyFill="1" applyBorder="1" applyAlignment="1">
      <alignment horizontal="center" vertical="center"/>
    </xf>
    <xf numFmtId="4" fontId="5" fillId="2" borderId="9" xfId="2" applyNumberFormat="1" applyFont="1" applyFill="1" applyBorder="1" applyAlignment="1">
      <alignment horizontal="center" vertical="center"/>
    </xf>
    <xf numFmtId="4" fontId="5" fillId="2" borderId="1" xfId="2" applyNumberFormat="1" applyFont="1" applyFill="1" applyBorder="1" applyAlignment="1">
      <alignment horizontal="center" vertical="center"/>
    </xf>
    <xf numFmtId="4" fontId="5" fillId="2" borderId="13" xfId="2" applyNumberFormat="1" applyFont="1" applyFill="1" applyBorder="1" applyAlignment="1">
      <alignment horizontal="center" vertical="center"/>
    </xf>
    <xf numFmtId="4" fontId="9" fillId="9" borderId="1" xfId="1" applyNumberFormat="1" applyFont="1" applyFill="1" applyBorder="1" applyAlignment="1">
      <alignment horizontal="center" vertical="center"/>
    </xf>
    <xf numFmtId="4" fontId="9" fillId="9" borderId="2" xfId="1" applyNumberFormat="1" applyFont="1" applyFill="1" applyBorder="1" applyAlignment="1">
      <alignment horizontal="center" vertical="center"/>
    </xf>
    <xf numFmtId="4" fontId="9" fillId="9" borderId="38" xfId="1" applyNumberFormat="1" applyFont="1" applyFill="1" applyBorder="1" applyAlignment="1">
      <alignment horizontal="center" vertical="center"/>
    </xf>
    <xf numFmtId="4" fontId="9" fillId="9" borderId="36" xfId="1" applyNumberFormat="1" applyFont="1" applyFill="1" applyBorder="1" applyAlignment="1">
      <alignment horizontal="center" vertical="center"/>
    </xf>
    <xf numFmtId="4" fontId="9" fillId="9" borderId="8" xfId="1" applyNumberFormat="1" applyFont="1" applyFill="1" applyBorder="1" applyAlignment="1">
      <alignment horizontal="center" vertical="center"/>
    </xf>
    <xf numFmtId="4" fontId="9" fillId="9" borderId="37" xfId="1" applyNumberFormat="1" applyFont="1" applyFill="1" applyBorder="1" applyAlignment="1">
      <alignment horizontal="center" vertical="center"/>
    </xf>
    <xf numFmtId="0" fontId="17" fillId="0" borderId="17" xfId="0" applyNumberFormat="1" applyFont="1" applyFill="1" applyBorder="1" applyAlignment="1">
      <alignment horizontal="center" vertical="center"/>
    </xf>
    <xf numFmtId="0" fontId="17" fillId="0" borderId="18" xfId="0" applyNumberFormat="1" applyFont="1" applyFill="1" applyBorder="1" applyAlignment="1">
      <alignment horizontal="center" vertical="center"/>
    </xf>
    <xf numFmtId="0" fontId="22" fillId="0" borderId="27" xfId="0" applyFont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32" xfId="0" applyFont="1" applyBorder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0" fontId="22" fillId="0" borderId="29" xfId="0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3" fillId="9" borderId="27" xfId="0" applyFont="1" applyFill="1" applyBorder="1" applyAlignment="1">
      <alignment horizontal="center" vertical="center" wrapText="1"/>
    </xf>
    <xf numFmtId="0" fontId="23" fillId="9" borderId="28" xfId="0" applyFont="1" applyFill="1" applyBorder="1" applyAlignment="1">
      <alignment horizontal="center" vertical="center" wrapText="1"/>
    </xf>
    <xf numFmtId="0" fontId="23" fillId="9" borderId="29" xfId="0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/>
    </xf>
    <xf numFmtId="0" fontId="17" fillId="0" borderId="5" xfId="0" applyNumberFormat="1" applyFont="1" applyFill="1" applyBorder="1" applyAlignment="1">
      <alignment horizontal="center" vertical="center"/>
    </xf>
    <xf numFmtId="4" fontId="9" fillId="2" borderId="79" xfId="1" applyNumberFormat="1" applyFont="1" applyFill="1" applyBorder="1" applyAlignment="1">
      <alignment horizontal="center" vertical="center"/>
    </xf>
    <xf numFmtId="4" fontId="9" fillId="2" borderId="51" xfId="1" applyNumberFormat="1" applyFont="1" applyFill="1" applyBorder="1" applyAlignment="1">
      <alignment horizontal="center" vertical="center"/>
    </xf>
    <xf numFmtId="4" fontId="9" fillId="2" borderId="80" xfId="1" applyNumberFormat="1" applyFont="1" applyFill="1" applyBorder="1" applyAlignment="1">
      <alignment horizontal="center" vertical="center"/>
    </xf>
    <xf numFmtId="4" fontId="9" fillId="2" borderId="50" xfId="1" applyNumberFormat="1" applyFont="1" applyFill="1" applyBorder="1" applyAlignment="1">
      <alignment horizontal="center" vertical="center"/>
    </xf>
    <xf numFmtId="4" fontId="9" fillId="2" borderId="52" xfId="1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  <xf numFmtId="0" fontId="5" fillId="2" borderId="14" xfId="0" applyNumberFormat="1" applyFont="1" applyFill="1" applyBorder="1" applyAlignment="1">
      <alignment horizontal="center" vertical="center"/>
    </xf>
    <xf numFmtId="0" fontId="5" fillId="2" borderId="15" xfId="0" applyNumberFormat="1" applyFont="1" applyFill="1" applyBorder="1" applyAlignment="1">
      <alignment horizontal="center" vertical="center"/>
    </xf>
    <xf numFmtId="0" fontId="5" fillId="2" borderId="17" xfId="0" applyNumberFormat="1" applyFont="1" applyFill="1" applyBorder="1" applyAlignment="1">
      <alignment horizontal="center" vertical="center"/>
    </xf>
    <xf numFmtId="0" fontId="5" fillId="2" borderId="18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69" xfId="0" applyBorder="1" applyAlignment="1">
      <alignment horizontal="center"/>
    </xf>
    <xf numFmtId="4" fontId="21" fillId="2" borderId="14" xfId="1" applyNumberFormat="1" applyFont="1" applyFill="1" applyBorder="1" applyAlignment="1">
      <alignment horizontal="right" vertical="center"/>
    </xf>
    <xf numFmtId="4" fontId="21" fillId="2" borderId="15" xfId="1" applyNumberFormat="1" applyFont="1" applyFill="1" applyBorder="1" applyAlignment="1">
      <alignment horizontal="right" vertical="center"/>
    </xf>
    <xf numFmtId="4" fontId="21" fillId="2" borderId="17" xfId="1" applyNumberFormat="1" applyFont="1" applyFill="1" applyBorder="1" applyAlignment="1">
      <alignment horizontal="right" vertical="center"/>
    </xf>
    <xf numFmtId="4" fontId="21" fillId="2" borderId="18" xfId="1" applyNumberFormat="1" applyFont="1" applyFill="1" applyBorder="1" applyAlignment="1">
      <alignment horizontal="right" vertical="center"/>
    </xf>
    <xf numFmtId="0" fontId="0" fillId="0" borderId="70" xfId="0" applyBorder="1" applyAlignment="1">
      <alignment horizontal="right"/>
    </xf>
    <xf numFmtId="0" fontId="0" fillId="0" borderId="71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69" xfId="0" applyBorder="1" applyAlignment="1">
      <alignment horizontal="right"/>
    </xf>
    <xf numFmtId="4" fontId="9" fillId="2" borderId="1" xfId="1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8" xfId="1" applyNumberFormat="1" applyFont="1" applyFill="1" applyBorder="1" applyAlignment="1">
      <alignment horizontal="center" vertical="center"/>
    </xf>
    <xf numFmtId="4" fontId="21" fillId="2" borderId="73" xfId="1" applyNumberFormat="1" applyFont="1" applyFill="1" applyBorder="1" applyAlignment="1">
      <alignment horizontal="right" vertical="center"/>
    </xf>
    <xf numFmtId="4" fontId="21" fillId="2" borderId="74" xfId="1" applyNumberFormat="1" applyFont="1" applyFill="1" applyBorder="1" applyAlignment="1">
      <alignment horizontal="right" vertical="center"/>
    </xf>
    <xf numFmtId="0" fontId="0" fillId="0" borderId="9" xfId="0" applyBorder="1" applyAlignment="1">
      <alignment horizontal="center"/>
    </xf>
    <xf numFmtId="4" fontId="5" fillId="2" borderId="26" xfId="1" applyNumberFormat="1" applyFont="1" applyFill="1" applyBorder="1" applyAlignment="1">
      <alignment horizontal="center" vertical="center"/>
    </xf>
    <xf numFmtId="4" fontId="9" fillId="5" borderId="110" xfId="1" applyNumberFormat="1" applyFont="1" applyFill="1" applyBorder="1" applyAlignment="1">
      <alignment horizontal="center" vertical="center"/>
    </xf>
    <xf numFmtId="4" fontId="9" fillId="5" borderId="111" xfId="1" applyNumberFormat="1" applyFont="1" applyFill="1" applyBorder="1" applyAlignment="1">
      <alignment horizontal="center" vertical="center"/>
    </xf>
    <xf numFmtId="4" fontId="9" fillId="5" borderId="112" xfId="1" applyNumberFormat="1" applyFont="1" applyFill="1" applyBorder="1" applyAlignment="1">
      <alignment horizontal="center" vertical="center"/>
    </xf>
    <xf numFmtId="4" fontId="9" fillId="2" borderId="21" xfId="1" applyNumberFormat="1" applyFont="1" applyFill="1" applyBorder="1" applyAlignment="1">
      <alignment horizontal="center" vertical="center" wrapText="1"/>
    </xf>
    <xf numFmtId="4" fontId="9" fillId="2" borderId="24" xfId="1" applyNumberFormat="1" applyFont="1" applyFill="1" applyBorder="1" applyAlignment="1">
      <alignment horizontal="center" vertical="center" wrapText="1"/>
    </xf>
    <xf numFmtId="4" fontId="9" fillId="2" borderId="22" xfId="1" applyNumberFormat="1" applyFont="1" applyFill="1" applyBorder="1" applyAlignment="1">
      <alignment horizontal="center" vertical="center" wrapText="1"/>
    </xf>
    <xf numFmtId="4" fontId="9" fillId="2" borderId="12" xfId="1" applyNumberFormat="1" applyFont="1" applyFill="1" applyBorder="1" applyAlignment="1">
      <alignment horizontal="center" vertical="center" wrapText="1"/>
    </xf>
    <xf numFmtId="4" fontId="9" fillId="2" borderId="23" xfId="1" applyNumberFormat="1" applyFont="1" applyFill="1" applyBorder="1" applyAlignment="1">
      <alignment horizontal="center" vertical="center" wrapText="1"/>
    </xf>
    <xf numFmtId="4" fontId="9" fillId="2" borderId="25" xfId="1" applyNumberFormat="1" applyFont="1" applyFill="1" applyBorder="1" applyAlignment="1">
      <alignment horizontal="center" vertical="center" wrapText="1"/>
    </xf>
    <xf numFmtId="1" fontId="9" fillId="8" borderId="3" xfId="1" applyNumberFormat="1" applyFont="1" applyFill="1" applyBorder="1" applyAlignment="1">
      <alignment horizontal="center" vertical="center" wrapText="1"/>
    </xf>
    <xf numFmtId="1" fontId="9" fillId="8" borderId="5" xfId="1" applyNumberFormat="1" applyFont="1" applyFill="1" applyBorder="1" applyAlignment="1">
      <alignment horizontal="center" vertical="center" wrapText="1"/>
    </xf>
    <xf numFmtId="1" fontId="9" fillId="8" borderId="14" xfId="1" applyNumberFormat="1" applyFont="1" applyFill="1" applyBorder="1" applyAlignment="1">
      <alignment horizontal="center" vertical="center" wrapText="1"/>
    </xf>
    <xf numFmtId="1" fontId="9" fillId="8" borderId="15" xfId="1" applyNumberFormat="1" applyFont="1" applyFill="1" applyBorder="1" applyAlignment="1">
      <alignment horizontal="center" vertical="center" wrapText="1"/>
    </xf>
    <xf numFmtId="0" fontId="9" fillId="8" borderId="17" xfId="1" applyNumberFormat="1" applyFont="1" applyFill="1" applyBorder="1" applyAlignment="1">
      <alignment horizontal="center" vertical="center"/>
    </xf>
    <xf numFmtId="0" fontId="9" fillId="8" borderId="18" xfId="1" applyNumberFormat="1" applyFont="1" applyFill="1" applyBorder="1" applyAlignment="1">
      <alignment horizontal="center" vertical="center"/>
    </xf>
    <xf numFmtId="4" fontId="9" fillId="0" borderId="50" xfId="1" applyNumberFormat="1" applyFont="1" applyFill="1" applyBorder="1" applyAlignment="1">
      <alignment horizontal="center" vertical="center"/>
    </xf>
    <xf numFmtId="4" fontId="9" fillId="0" borderId="51" xfId="1" applyNumberFormat="1" applyFont="1" applyFill="1" applyBorder="1" applyAlignment="1">
      <alignment horizontal="center" vertical="center"/>
    </xf>
    <xf numFmtId="4" fontId="9" fillId="0" borderId="52" xfId="1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5" fillId="0" borderId="36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15" fillId="0" borderId="37" xfId="0" applyFont="1" applyBorder="1" applyAlignment="1">
      <alignment horizontal="center"/>
    </xf>
    <xf numFmtId="4" fontId="0" fillId="0" borderId="26" xfId="0" applyNumberFormat="1" applyFill="1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4" fontId="9" fillId="2" borderId="15" xfId="1" applyNumberFormat="1" applyFont="1" applyFill="1" applyBorder="1" applyAlignment="1">
      <alignment horizontal="center" vertical="center" wrapText="1"/>
    </xf>
    <xf numFmtId="4" fontId="0" fillId="0" borderId="28" xfId="0" applyNumberFormat="1" applyFill="1" applyBorder="1" applyAlignment="1">
      <alignment horizontal="center"/>
    </xf>
    <xf numFmtId="4" fontId="21" fillId="2" borderId="36" xfId="1" applyNumberFormat="1" applyFont="1" applyFill="1" applyBorder="1" applyAlignment="1">
      <alignment horizontal="center" vertical="center"/>
    </xf>
    <xf numFmtId="4" fontId="21" fillId="2" borderId="8" xfId="1" applyNumberFormat="1" applyFont="1" applyFill="1" applyBorder="1" applyAlignment="1">
      <alignment horizontal="center" vertical="center"/>
    </xf>
    <xf numFmtId="4" fontId="21" fillId="2" borderId="37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9" fillId="4" borderId="3" xfId="0" applyFont="1" applyFill="1" applyBorder="1" applyAlignment="1">
      <alignment horizontal="center"/>
    </xf>
    <xf numFmtId="0" fontId="29" fillId="4" borderId="5" xfId="0" applyFont="1" applyFill="1" applyBorder="1" applyAlignment="1">
      <alignment horizontal="center"/>
    </xf>
    <xf numFmtId="0" fontId="29" fillId="4" borderId="13" xfId="0" applyFont="1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7" xfId="0" applyBorder="1" applyAlignment="1">
      <alignment horizontal="center"/>
    </xf>
    <xf numFmtId="0" fontId="31" fillId="0" borderId="90" xfId="0" applyFont="1" applyBorder="1" applyAlignment="1">
      <alignment horizontal="center" wrapText="1"/>
    </xf>
    <xf numFmtId="0" fontId="31" fillId="0" borderId="91" xfId="0" applyFont="1" applyBorder="1" applyAlignment="1">
      <alignment horizontal="center" wrapText="1"/>
    </xf>
    <xf numFmtId="0" fontId="0" fillId="0" borderId="90" xfId="0" applyBorder="1" applyAlignment="1">
      <alignment horizontal="center" vertical="center" wrapText="1"/>
    </xf>
    <xf numFmtId="0" fontId="0" fillId="0" borderId="91" xfId="0" applyBorder="1" applyAlignment="1">
      <alignment horizontal="center" vertical="center" wrapText="1"/>
    </xf>
    <xf numFmtId="0" fontId="32" fillId="14" borderId="90" xfId="0" applyFont="1" applyFill="1" applyBorder="1" applyAlignment="1">
      <alignment horizontal="center" vertical="center" wrapText="1"/>
    </xf>
    <xf numFmtId="0" fontId="32" fillId="14" borderId="81" xfId="0" applyFont="1" applyFill="1" applyBorder="1" applyAlignment="1">
      <alignment horizontal="center" vertical="center" wrapText="1"/>
    </xf>
    <xf numFmtId="0" fontId="8" fillId="0" borderId="7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43" fontId="32" fillId="14" borderId="36" xfId="3" applyFont="1" applyFill="1" applyBorder="1" applyAlignment="1">
      <alignment horizontal="center" vertical="center" wrapText="1"/>
    </xf>
    <xf numFmtId="43" fontId="32" fillId="14" borderId="8" xfId="3" applyFont="1" applyFill="1" applyBorder="1" applyAlignment="1">
      <alignment horizontal="center" vertical="center" wrapText="1"/>
    </xf>
    <xf numFmtId="43" fontId="32" fillId="14" borderId="37" xfId="3" applyFont="1" applyFill="1" applyBorder="1" applyAlignment="1">
      <alignment horizontal="center" vertical="center" wrapText="1"/>
    </xf>
    <xf numFmtId="1" fontId="32" fillId="14" borderId="4" xfId="0" applyNumberFormat="1" applyFont="1" applyFill="1" applyBorder="1" applyAlignment="1">
      <alignment horizontal="center" vertical="center" wrapText="1"/>
    </xf>
    <xf numFmtId="1" fontId="32" fillId="14" borderId="51" xfId="0" applyNumberFormat="1" applyFont="1" applyFill="1" applyBorder="1" applyAlignment="1">
      <alignment horizontal="center" vertical="center" wrapText="1"/>
    </xf>
    <xf numFmtId="0" fontId="32" fillId="14" borderId="71" xfId="0" applyFont="1" applyFill="1" applyBorder="1" applyAlignment="1">
      <alignment horizontal="center" vertical="center" wrapText="1"/>
    </xf>
    <xf numFmtId="0" fontId="32" fillId="14" borderId="98" xfId="0" applyFont="1" applyFill="1" applyBorder="1" applyAlignment="1">
      <alignment horizontal="center" vertical="center"/>
    </xf>
    <xf numFmtId="0" fontId="32" fillId="14" borderId="28" xfId="0" applyFont="1" applyFill="1" applyBorder="1" applyAlignment="1">
      <alignment horizontal="center" vertical="center"/>
    </xf>
    <xf numFmtId="0" fontId="32" fillId="14" borderId="2" xfId="0" applyFont="1" applyFill="1" applyBorder="1" applyAlignment="1">
      <alignment horizontal="center" vertical="center"/>
    </xf>
    <xf numFmtId="0" fontId="32" fillId="14" borderId="4" xfId="0" applyFont="1" applyFill="1" applyBorder="1" applyAlignment="1">
      <alignment horizontal="center" vertical="center"/>
    </xf>
    <xf numFmtId="0" fontId="32" fillId="14" borderId="5" xfId="0" applyFont="1" applyFill="1" applyBorder="1" applyAlignment="1">
      <alignment horizontal="center" vertical="center" wrapText="1"/>
    </xf>
    <xf numFmtId="0" fontId="32" fillId="14" borderId="50" xfId="0" applyFont="1" applyFill="1" applyBorder="1" applyAlignment="1">
      <alignment horizontal="center" vertical="center" wrapText="1"/>
    </xf>
    <xf numFmtId="0" fontId="32" fillId="14" borderId="90" xfId="0" applyFont="1" applyFill="1" applyBorder="1" applyAlignment="1">
      <alignment horizontal="center" vertical="center"/>
    </xf>
    <xf numFmtId="0" fontId="32" fillId="14" borderId="81" xfId="0" applyFont="1" applyFill="1" applyBorder="1" applyAlignment="1">
      <alignment horizontal="center" vertical="center"/>
    </xf>
    <xf numFmtId="0" fontId="32" fillId="14" borderId="3" xfId="0" applyFont="1" applyFill="1" applyBorder="1" applyAlignment="1">
      <alignment horizontal="center" vertical="center" wrapText="1"/>
    </xf>
    <xf numFmtId="0" fontId="32" fillId="14" borderId="17" xfId="0" applyFont="1" applyFill="1" applyBorder="1" applyAlignment="1">
      <alignment horizontal="center" vertical="center" wrapText="1"/>
    </xf>
    <xf numFmtId="0" fontId="32" fillId="14" borderId="18" xfId="0" applyFont="1" applyFill="1" applyBorder="1" applyAlignment="1">
      <alignment horizontal="center" vertical="center" wrapText="1"/>
    </xf>
    <xf numFmtId="0" fontId="32" fillId="14" borderId="6" xfId="0" applyFont="1" applyFill="1" applyBorder="1" applyAlignment="1">
      <alignment horizontal="center" vertical="center" wrapText="1"/>
    </xf>
    <xf numFmtId="0" fontId="32" fillId="14" borderId="2" xfId="0" applyFont="1" applyFill="1" applyBorder="1" applyAlignment="1">
      <alignment horizontal="center" vertical="center" wrapText="1"/>
    </xf>
    <xf numFmtId="0" fontId="32" fillId="14" borderId="51" xfId="0" applyFont="1" applyFill="1" applyBorder="1" applyAlignment="1">
      <alignment horizontal="center" vertical="center" wrapText="1"/>
    </xf>
    <xf numFmtId="0" fontId="0" fillId="13" borderId="26" xfId="0" applyFill="1" applyBorder="1" applyAlignment="1">
      <alignment horizontal="center" vertical="center"/>
    </xf>
    <xf numFmtId="0" fontId="0" fillId="13" borderId="26" xfId="0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 wrapText="1"/>
    </xf>
  </cellXfs>
  <cellStyles count="4">
    <cellStyle name="Millares" xfId="3" builtinId="3"/>
    <cellStyle name="Normal" xfId="0" builtinId="0"/>
    <cellStyle name="Normal 2" xfId="1"/>
    <cellStyle name="Normal 2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"/>
  <sheetViews>
    <sheetView workbookViewId="0">
      <selection activeCell="D72" sqref="D72"/>
    </sheetView>
  </sheetViews>
  <sheetFormatPr baseColWidth="10" defaultRowHeight="14.4" x14ac:dyDescent="0.3"/>
  <sheetData>
    <row r="1" spans="1:4" ht="15" x14ac:dyDescent="0.25">
      <c r="A1" s="90" t="s">
        <v>630</v>
      </c>
      <c r="B1" s="90" t="s">
        <v>631</v>
      </c>
      <c r="C1" s="90" t="s">
        <v>632</v>
      </c>
      <c r="D1" s="90" t="s">
        <v>633</v>
      </c>
    </row>
    <row r="2" spans="1:4" ht="15" x14ac:dyDescent="0.25">
      <c r="A2" s="90">
        <v>62.17</v>
      </c>
      <c r="B2" s="294">
        <v>36.450000000000003</v>
      </c>
      <c r="C2" s="90">
        <v>43.46</v>
      </c>
      <c r="D2" s="90">
        <v>35.909999999999997</v>
      </c>
    </row>
    <row r="3" spans="1:4" ht="15" x14ac:dyDescent="0.25">
      <c r="A3" s="90"/>
      <c r="B3" s="294">
        <v>43.65</v>
      </c>
      <c r="C3" s="90">
        <v>45.8</v>
      </c>
      <c r="D3" s="90">
        <v>48.91</v>
      </c>
    </row>
    <row r="4" spans="1:4" ht="15" x14ac:dyDescent="0.25">
      <c r="A4" s="90"/>
      <c r="B4" s="295">
        <v>50.63</v>
      </c>
      <c r="C4" s="90">
        <v>45.75</v>
      </c>
      <c r="D4" s="90">
        <v>56.21</v>
      </c>
    </row>
    <row r="5" spans="1:4" ht="15" x14ac:dyDescent="0.25">
      <c r="A5" s="90"/>
      <c r="B5" s="296">
        <v>50.45</v>
      </c>
      <c r="C5" s="90">
        <v>57.12</v>
      </c>
      <c r="D5" s="90"/>
    </row>
    <row r="6" spans="1:4" ht="15" x14ac:dyDescent="0.25">
      <c r="A6" s="90"/>
      <c r="B6" s="296">
        <v>3.5</v>
      </c>
      <c r="C6" s="90">
        <v>36.93</v>
      </c>
      <c r="D6" s="90"/>
    </row>
    <row r="7" spans="1:4" ht="15" x14ac:dyDescent="0.25">
      <c r="A7" s="90"/>
      <c r="B7" s="296">
        <v>62.81</v>
      </c>
      <c r="C7" s="90">
        <v>22.88</v>
      </c>
      <c r="D7" s="90"/>
    </row>
    <row r="8" spans="1:4" ht="15" x14ac:dyDescent="0.25">
      <c r="A8" s="90"/>
      <c r="B8" s="296">
        <v>43.84</v>
      </c>
      <c r="C8" s="90">
        <v>10.06</v>
      </c>
      <c r="D8" s="90"/>
    </row>
    <row r="9" spans="1:4" ht="15" x14ac:dyDescent="0.25">
      <c r="A9" s="90"/>
      <c r="B9" s="296">
        <v>59.99</v>
      </c>
      <c r="C9" s="90">
        <v>35.25</v>
      </c>
      <c r="D9" s="90"/>
    </row>
    <row r="10" spans="1:4" ht="15" x14ac:dyDescent="0.25">
      <c r="A10" s="90"/>
      <c r="B10" s="296">
        <v>45.32</v>
      </c>
      <c r="C10" s="90">
        <v>42.35</v>
      </c>
      <c r="D10" s="90"/>
    </row>
    <row r="11" spans="1:4" ht="15" x14ac:dyDescent="0.25">
      <c r="A11" s="90"/>
      <c r="B11" s="296">
        <v>85.99</v>
      </c>
      <c r="C11" s="90">
        <v>44.09</v>
      </c>
      <c r="D11" s="90"/>
    </row>
    <row r="12" spans="1:4" ht="15" x14ac:dyDescent="0.25">
      <c r="A12" s="90"/>
      <c r="B12" s="296">
        <v>7.69</v>
      </c>
      <c r="C12" s="90"/>
      <c r="D12" s="90"/>
    </row>
    <row r="13" spans="1:4" ht="15" x14ac:dyDescent="0.25">
      <c r="A13" s="90"/>
      <c r="B13" s="296">
        <v>36.1</v>
      </c>
      <c r="C13" s="90"/>
      <c r="D13" s="90"/>
    </row>
    <row r="14" spans="1:4" ht="15" x14ac:dyDescent="0.25">
      <c r="A14" s="90"/>
      <c r="B14" s="296">
        <v>41.13</v>
      </c>
      <c r="C14" s="90"/>
      <c r="D14" s="90"/>
    </row>
    <row r="15" spans="1:4" ht="15" x14ac:dyDescent="0.25">
      <c r="A15" s="90"/>
      <c r="B15" s="296">
        <v>22.46</v>
      </c>
      <c r="C15" s="90"/>
      <c r="D15" s="90"/>
    </row>
    <row r="16" spans="1:4" ht="15" x14ac:dyDescent="0.25">
      <c r="A16" s="90"/>
      <c r="B16" s="296">
        <v>53.38</v>
      </c>
      <c r="C16" s="90"/>
      <c r="D16" s="90"/>
    </row>
    <row r="17" spans="1:4" ht="15" x14ac:dyDescent="0.25">
      <c r="A17" s="90"/>
      <c r="B17" s="296">
        <v>26.4</v>
      </c>
      <c r="C17" s="90"/>
      <c r="D17" s="90"/>
    </row>
    <row r="18" spans="1:4" ht="15" x14ac:dyDescent="0.25">
      <c r="A18" s="90"/>
      <c r="B18" s="297">
        <v>44.3</v>
      </c>
      <c r="C18" s="90"/>
      <c r="D18" s="90"/>
    </row>
    <row r="19" spans="1:4" ht="15" x14ac:dyDescent="0.25">
      <c r="A19" s="90"/>
      <c r="B19" s="297">
        <v>18.52</v>
      </c>
      <c r="C19" s="90"/>
      <c r="D19" s="90"/>
    </row>
    <row r="20" spans="1:4" ht="15" x14ac:dyDescent="0.25">
      <c r="A20" s="90"/>
      <c r="B20" s="297">
        <v>44.04</v>
      </c>
      <c r="C20" s="90"/>
      <c r="D20" s="90"/>
    </row>
    <row r="21" spans="1:4" ht="15" x14ac:dyDescent="0.25">
      <c r="A21" s="90"/>
      <c r="B21" s="297">
        <v>44.03</v>
      </c>
      <c r="C21" s="90"/>
      <c r="D21" s="90"/>
    </row>
    <row r="22" spans="1:4" ht="15" x14ac:dyDescent="0.25">
      <c r="A22" s="90"/>
      <c r="B22" s="297">
        <v>21.23</v>
      </c>
      <c r="C22" s="90"/>
      <c r="D22" s="90"/>
    </row>
    <row r="23" spans="1:4" ht="15" x14ac:dyDescent="0.25">
      <c r="A23" s="90"/>
      <c r="B23" s="297">
        <v>5.52</v>
      </c>
      <c r="C23" s="90"/>
      <c r="D23" s="90"/>
    </row>
    <row r="24" spans="1:4" ht="15" x14ac:dyDescent="0.25">
      <c r="A24" s="90"/>
      <c r="B24" s="297">
        <v>52.87</v>
      </c>
      <c r="C24" s="90"/>
      <c r="D24" s="90"/>
    </row>
    <row r="25" spans="1:4" ht="15" x14ac:dyDescent="0.25">
      <c r="A25" s="90"/>
      <c r="B25" s="297">
        <v>44.73</v>
      </c>
      <c r="C25" s="90"/>
      <c r="D25" s="90"/>
    </row>
    <row r="26" spans="1:4" ht="15" x14ac:dyDescent="0.25">
      <c r="A26" s="90"/>
      <c r="B26" s="297">
        <v>15.91</v>
      </c>
      <c r="C26" s="90"/>
      <c r="D26" s="90"/>
    </row>
    <row r="27" spans="1:4" ht="15" x14ac:dyDescent="0.25">
      <c r="A27" s="90"/>
      <c r="B27" s="297">
        <v>64.650000000000006</v>
      </c>
      <c r="C27" s="90"/>
      <c r="D27" s="90"/>
    </row>
    <row r="28" spans="1:4" ht="15" x14ac:dyDescent="0.25">
      <c r="A28" s="90"/>
      <c r="B28" s="297">
        <v>9.2799999999999994</v>
      </c>
      <c r="C28" s="90"/>
      <c r="D28" s="90"/>
    </row>
    <row r="29" spans="1:4" ht="15" x14ac:dyDescent="0.25">
      <c r="A29" s="90"/>
      <c r="B29" s="297">
        <v>35.47</v>
      </c>
      <c r="C29" s="90"/>
      <c r="D29" s="90"/>
    </row>
    <row r="30" spans="1:4" ht="15" x14ac:dyDescent="0.25">
      <c r="A30" s="90"/>
      <c r="B30" s="297">
        <v>37.659999999999997</v>
      </c>
      <c r="C30" s="90"/>
      <c r="D30" s="90"/>
    </row>
    <row r="31" spans="1:4" ht="15" x14ac:dyDescent="0.25">
      <c r="A31" s="90"/>
      <c r="B31" s="297">
        <v>31.48</v>
      </c>
      <c r="C31" s="90"/>
      <c r="D31" s="90"/>
    </row>
    <row r="32" spans="1:4" x14ac:dyDescent="0.3">
      <c r="A32" s="90"/>
      <c r="B32" s="297">
        <v>47.37</v>
      </c>
      <c r="C32" s="90"/>
      <c r="D32" s="90"/>
    </row>
    <row r="33" spans="1:4" x14ac:dyDescent="0.3">
      <c r="A33" s="90"/>
      <c r="B33" s="297">
        <v>59.57</v>
      </c>
      <c r="C33" s="90"/>
      <c r="D33" s="90"/>
    </row>
    <row r="34" spans="1:4" x14ac:dyDescent="0.3">
      <c r="A34" s="90"/>
      <c r="B34" s="297">
        <v>44.35</v>
      </c>
      <c r="C34" s="90"/>
      <c r="D34" s="90"/>
    </row>
    <row r="35" spans="1:4" x14ac:dyDescent="0.3">
      <c r="A35" s="90"/>
      <c r="B35" s="297">
        <v>39.020000000000003</v>
      </c>
      <c r="C35" s="90"/>
      <c r="D35" s="90"/>
    </row>
    <row r="36" spans="1:4" x14ac:dyDescent="0.3">
      <c r="A36" s="90"/>
      <c r="B36" s="297">
        <v>38.5</v>
      </c>
      <c r="C36" s="90"/>
      <c r="D36" s="90"/>
    </row>
    <row r="37" spans="1:4" x14ac:dyDescent="0.3">
      <c r="A37" s="90"/>
      <c r="B37" s="297">
        <v>38.54</v>
      </c>
      <c r="C37" s="90"/>
      <c r="D37" s="90"/>
    </row>
    <row r="38" spans="1:4" x14ac:dyDescent="0.3">
      <c r="A38" s="90"/>
      <c r="B38" s="297">
        <v>51.11</v>
      </c>
      <c r="C38" s="90"/>
      <c r="D38" s="90"/>
    </row>
    <row r="39" spans="1:4" x14ac:dyDescent="0.3">
      <c r="A39" s="90"/>
      <c r="B39" s="297">
        <v>43.54</v>
      </c>
      <c r="C39" s="90"/>
      <c r="D39" s="90"/>
    </row>
    <row r="40" spans="1:4" x14ac:dyDescent="0.3">
      <c r="A40" s="90"/>
      <c r="B40" s="297">
        <v>48.06</v>
      </c>
      <c r="C40" s="90"/>
      <c r="D40" s="90"/>
    </row>
    <row r="41" spans="1:4" x14ac:dyDescent="0.3">
      <c r="A41" s="90"/>
      <c r="B41" s="297">
        <v>45.6</v>
      </c>
      <c r="C41" s="90"/>
      <c r="D41" s="90"/>
    </row>
    <row r="42" spans="1:4" x14ac:dyDescent="0.3">
      <c r="A42" s="90"/>
      <c r="B42" s="297">
        <v>44.28</v>
      </c>
      <c r="C42" s="90"/>
      <c r="D42" s="90"/>
    </row>
    <row r="43" spans="1:4" x14ac:dyDescent="0.3">
      <c r="A43" s="90"/>
      <c r="B43" s="297">
        <v>18.350000000000001</v>
      </c>
      <c r="C43" s="90"/>
      <c r="D43" s="90"/>
    </row>
    <row r="44" spans="1:4" x14ac:dyDescent="0.3">
      <c r="A44" s="90"/>
      <c r="B44" s="297">
        <v>35.69</v>
      </c>
      <c r="C44" s="90"/>
      <c r="D44" s="90"/>
    </row>
    <row r="45" spans="1:4" x14ac:dyDescent="0.3">
      <c r="A45" s="90"/>
      <c r="B45" s="297">
        <v>28.6</v>
      </c>
      <c r="C45" s="90"/>
      <c r="D45" s="90"/>
    </row>
    <row r="46" spans="1:4" x14ac:dyDescent="0.3">
      <c r="A46" s="90"/>
      <c r="B46" s="297">
        <v>48.31</v>
      </c>
      <c r="C46" s="90"/>
      <c r="D46" s="90"/>
    </row>
    <row r="47" spans="1:4" x14ac:dyDescent="0.3">
      <c r="A47" s="90"/>
      <c r="B47" s="297">
        <v>12.66</v>
      </c>
      <c r="C47" s="90"/>
      <c r="D47" s="90"/>
    </row>
    <row r="48" spans="1:4" x14ac:dyDescent="0.3">
      <c r="A48" s="90"/>
      <c r="B48" s="297">
        <v>62.83</v>
      </c>
      <c r="C48" s="90"/>
      <c r="D48" s="90"/>
    </row>
    <row r="49" spans="1:4" x14ac:dyDescent="0.3">
      <c r="A49" s="90"/>
      <c r="B49" s="297">
        <v>63.84</v>
      </c>
      <c r="C49" s="90"/>
      <c r="D49" s="90"/>
    </row>
    <row r="50" spans="1:4" x14ac:dyDescent="0.3">
      <c r="A50" s="90"/>
      <c r="B50" s="297">
        <v>49.2</v>
      </c>
      <c r="C50" s="90"/>
      <c r="D50" s="90"/>
    </row>
    <row r="51" spans="1:4" x14ac:dyDescent="0.3">
      <c r="A51" s="90"/>
      <c r="B51" s="297">
        <v>49.3</v>
      </c>
      <c r="C51" s="90"/>
      <c r="D51" s="90"/>
    </row>
    <row r="52" spans="1:4" x14ac:dyDescent="0.3">
      <c r="A52" s="90"/>
      <c r="B52" s="297">
        <v>21.57</v>
      </c>
      <c r="C52" s="90"/>
      <c r="D52" s="90"/>
    </row>
    <row r="53" spans="1:4" x14ac:dyDescent="0.3">
      <c r="A53" s="90"/>
      <c r="B53" s="297">
        <v>46.03</v>
      </c>
      <c r="C53" s="90"/>
      <c r="D53" s="90"/>
    </row>
    <row r="54" spans="1:4" x14ac:dyDescent="0.3">
      <c r="A54" s="90"/>
      <c r="B54" s="297">
        <v>48.47</v>
      </c>
      <c r="C54" s="90"/>
      <c r="D54" s="90"/>
    </row>
    <row r="55" spans="1:4" x14ac:dyDescent="0.3">
      <c r="A55" s="90"/>
      <c r="B55" s="297">
        <v>38.26</v>
      </c>
      <c r="C55" s="90"/>
      <c r="D55" s="90"/>
    </row>
    <row r="56" spans="1:4" x14ac:dyDescent="0.3">
      <c r="A56" s="90"/>
      <c r="B56" s="297">
        <v>39.29</v>
      </c>
      <c r="C56" s="90"/>
      <c r="D56" s="90"/>
    </row>
    <row r="57" spans="1:4" x14ac:dyDescent="0.3">
      <c r="A57" s="90"/>
      <c r="B57" s="297">
        <v>44.86</v>
      </c>
      <c r="C57" s="90"/>
      <c r="D57" s="90"/>
    </row>
    <row r="58" spans="1:4" x14ac:dyDescent="0.3">
      <c r="A58" s="90"/>
      <c r="B58" s="297">
        <v>53.34</v>
      </c>
      <c r="C58" s="90"/>
      <c r="D58" s="90"/>
    </row>
    <row r="59" spans="1:4" x14ac:dyDescent="0.3">
      <c r="A59" s="90"/>
      <c r="B59" s="297">
        <v>22.54</v>
      </c>
      <c r="C59" s="90"/>
      <c r="D59" s="90"/>
    </row>
    <row r="60" spans="1:4" x14ac:dyDescent="0.3">
      <c r="A60" s="90"/>
      <c r="B60" s="297">
        <v>30.43</v>
      </c>
      <c r="C60" s="90"/>
      <c r="D60" s="90"/>
    </row>
    <row r="61" spans="1:4" x14ac:dyDescent="0.3">
      <c r="A61" s="90"/>
      <c r="B61" s="297">
        <v>45.71</v>
      </c>
      <c r="C61" s="90"/>
      <c r="D61" s="90"/>
    </row>
    <row r="62" spans="1:4" x14ac:dyDescent="0.3">
      <c r="A62" s="90"/>
      <c r="B62" s="297">
        <v>46.63</v>
      </c>
      <c r="C62" s="90"/>
      <c r="D62" s="90"/>
    </row>
    <row r="63" spans="1:4" x14ac:dyDescent="0.3">
      <c r="A63" s="90"/>
      <c r="B63" s="297">
        <v>50.31</v>
      </c>
      <c r="C63" s="90"/>
      <c r="D63" s="90"/>
    </row>
    <row r="64" spans="1:4" x14ac:dyDescent="0.3">
      <c r="A64" s="90"/>
      <c r="B64" s="297">
        <v>70.13</v>
      </c>
      <c r="C64" s="90"/>
      <c r="D64" s="90"/>
    </row>
    <row r="65" spans="1:4" x14ac:dyDescent="0.3">
      <c r="A65" s="90"/>
      <c r="B65" s="297">
        <v>42.58</v>
      </c>
      <c r="C65" s="90"/>
      <c r="D65" s="90"/>
    </row>
    <row r="66" spans="1:4" x14ac:dyDescent="0.3">
      <c r="A66" s="90"/>
      <c r="B66" s="297">
        <v>68.36</v>
      </c>
      <c r="C66" s="90"/>
      <c r="D66" s="90"/>
    </row>
    <row r="67" spans="1:4" x14ac:dyDescent="0.3">
      <c r="A67" s="90"/>
      <c r="B67" s="297">
        <v>68.459999999999994</v>
      </c>
      <c r="C67" s="90"/>
      <c r="D67" s="90"/>
    </row>
    <row r="68" spans="1:4" x14ac:dyDescent="0.3">
      <c r="A68" s="90"/>
      <c r="B68" s="297">
        <v>58.17</v>
      </c>
      <c r="C68" s="90"/>
      <c r="D68" s="90"/>
    </row>
    <row r="69" spans="1:4" x14ac:dyDescent="0.3">
      <c r="A69" s="90"/>
      <c r="B69" s="297">
        <v>46.25</v>
      </c>
      <c r="C69" s="90"/>
      <c r="D69" s="90"/>
    </row>
    <row r="70" spans="1:4" x14ac:dyDescent="0.3">
      <c r="A70" s="90"/>
      <c r="B70" s="297">
        <v>50.17</v>
      </c>
      <c r="C70" s="90"/>
      <c r="D70" s="90"/>
    </row>
    <row r="71" spans="1:4" x14ac:dyDescent="0.3">
      <c r="A71" s="90"/>
      <c r="B71" s="297">
        <v>44.6</v>
      </c>
      <c r="C71" s="90"/>
      <c r="D71" s="90"/>
    </row>
    <row r="72" spans="1:4" x14ac:dyDescent="0.3">
      <c r="A72" s="90"/>
      <c r="B72" s="297">
        <v>17.87</v>
      </c>
      <c r="C72" s="90"/>
      <c r="D72" s="90"/>
    </row>
    <row r="73" spans="1:4" x14ac:dyDescent="0.3">
      <c r="A73" s="90"/>
      <c r="B73" s="297">
        <v>50.16</v>
      </c>
      <c r="C73" s="90"/>
      <c r="D73" s="90"/>
    </row>
    <row r="74" spans="1:4" x14ac:dyDescent="0.3">
      <c r="A74" s="90"/>
      <c r="B74" s="297">
        <v>48.78</v>
      </c>
      <c r="C74" s="90"/>
      <c r="D74" s="90"/>
    </row>
    <row r="75" spans="1:4" x14ac:dyDescent="0.3">
      <c r="A75" s="90"/>
      <c r="B75" s="297">
        <v>36.11</v>
      </c>
      <c r="C75" s="90"/>
      <c r="D75" s="90"/>
    </row>
    <row r="76" spans="1:4" x14ac:dyDescent="0.3">
      <c r="A76" s="90"/>
      <c r="B76" s="297">
        <v>38.64</v>
      </c>
      <c r="C76" s="90"/>
      <c r="D76" s="90"/>
    </row>
    <row r="77" spans="1:4" x14ac:dyDescent="0.3">
      <c r="A77" s="90"/>
      <c r="B77" s="297">
        <v>47.77</v>
      </c>
      <c r="C77" s="90"/>
      <c r="D77" s="90"/>
    </row>
    <row r="78" spans="1:4" x14ac:dyDescent="0.3">
      <c r="A78" s="90"/>
      <c r="B78" s="298">
        <v>47.85</v>
      </c>
      <c r="C78" s="90"/>
      <c r="D78" s="90"/>
    </row>
    <row r="79" spans="1:4" x14ac:dyDescent="0.3">
      <c r="A79" s="131">
        <f>SUM(A2:A78)</f>
        <v>62.17</v>
      </c>
      <c r="B79" s="131">
        <f>SUM(B2:B78)</f>
        <v>3231.5399999999995</v>
      </c>
      <c r="C79" s="131">
        <f>SUM(C2:C78)</f>
        <v>383.69000000000005</v>
      </c>
      <c r="D79" s="131">
        <f>SUM(D2:D78)</f>
        <v>141.03</v>
      </c>
    </row>
    <row r="80" spans="1:4" x14ac:dyDescent="0.3">
      <c r="B80">
        <f>SUM(A79:C79)</f>
        <v>3677.3999999999996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67"/>
  <sheetViews>
    <sheetView tabSelected="1" view="pageBreakPreview" zoomScaleNormal="100" zoomScaleSheetLayoutView="100" workbookViewId="0">
      <selection activeCell="B42" sqref="B30:B42"/>
    </sheetView>
  </sheetViews>
  <sheetFormatPr baseColWidth="10" defaultColWidth="11.44140625" defaultRowHeight="14.4" x14ac:dyDescent="0.3"/>
  <cols>
    <col min="1" max="1" width="11.44140625" style="73"/>
    <col min="2" max="2" width="91.88671875" style="73" customWidth="1"/>
    <col min="3" max="3" width="11.44140625" style="73"/>
    <col min="4" max="8" width="11.44140625" style="73" hidden="1" customWidth="1"/>
    <col min="9" max="16384" width="11.44140625" style="73"/>
  </cols>
  <sheetData>
    <row r="1" spans="1:9" ht="15" x14ac:dyDescent="0.25">
      <c r="A1" s="602" t="s">
        <v>584</v>
      </c>
      <c r="B1" s="602"/>
      <c r="C1" s="602"/>
      <c r="D1" s="602"/>
      <c r="E1" s="602"/>
      <c r="F1" s="602"/>
      <c r="G1" s="602"/>
      <c r="H1" s="602"/>
      <c r="I1" s="602"/>
    </row>
    <row r="2" spans="1:9" ht="36.75" customHeight="1" x14ac:dyDescent="0.25">
      <c r="A2" s="264" t="str">
        <f>'NOMBRE DEL PROYECTO'!A2</f>
        <v xml:space="preserve">PROYECTO: </v>
      </c>
      <c r="B2" s="603" t="str">
        <f>'NOMBRE DEL PROYECTO'!C2</f>
        <v xml:space="preserve">“CONSULTORÍA DE OBRA PARA LA ELABORACIÓN DEL ESTUDIO DEFINITIVO Y EXPEDIENTE TÉCNICO DE OBRA: CAMBIO DE COLECTOR EN URBANIZACIÓN GERMAN ASTETE – LA PERLA” </v>
      </c>
      <c r="C2" s="603"/>
      <c r="D2" s="603"/>
      <c r="E2" s="603"/>
      <c r="F2" s="603"/>
      <c r="G2" s="603"/>
      <c r="H2" s="603"/>
      <c r="I2" s="603"/>
    </row>
    <row r="3" spans="1:9" ht="15" x14ac:dyDescent="0.25">
      <c r="A3" s="73" t="str">
        <f>'NOMBRE DEL PROYECTO'!A4</f>
        <v>UBICACIÓN:</v>
      </c>
      <c r="B3" s="73" t="str">
        <f>'NOMBRE DEL PROYECTO'!C4</f>
        <v xml:space="preserve">URBANIZACIÓN GERMAN ASTETE – LA PERLA - CALLAO </v>
      </c>
    </row>
    <row r="4" spans="1:9" ht="15.75" thickBot="1" x14ac:dyDescent="0.3"/>
    <row r="5" spans="1:9" ht="15.75" thickBot="1" x14ac:dyDescent="0.3">
      <c r="A5" s="600" t="s">
        <v>161</v>
      </c>
      <c r="B5" s="600"/>
      <c r="C5" s="600"/>
      <c r="D5" s="600"/>
      <c r="E5" s="600"/>
      <c r="F5" s="600"/>
      <c r="G5" s="600"/>
      <c r="H5" s="600"/>
      <c r="I5" s="600"/>
    </row>
    <row r="6" spans="1:9" ht="15" thickBot="1" x14ac:dyDescent="0.35">
      <c r="A6" s="308" t="s">
        <v>162</v>
      </c>
      <c r="B6" s="308" t="s">
        <v>163</v>
      </c>
      <c r="C6" s="308" t="s">
        <v>164</v>
      </c>
      <c r="D6" s="204" t="s">
        <v>165</v>
      </c>
      <c r="E6" s="204" t="s">
        <v>166</v>
      </c>
      <c r="F6" s="204" t="s">
        <v>167</v>
      </c>
      <c r="G6" s="204" t="s">
        <v>168</v>
      </c>
      <c r="H6" s="204" t="s">
        <v>169</v>
      </c>
      <c r="I6" s="204" t="s">
        <v>170</v>
      </c>
    </row>
    <row r="7" spans="1:9" ht="15" x14ac:dyDescent="0.25">
      <c r="A7" s="205">
        <v>1</v>
      </c>
      <c r="B7" s="206" t="s">
        <v>171</v>
      </c>
      <c r="C7" s="207"/>
      <c r="D7" s="208"/>
      <c r="E7" s="208"/>
      <c r="F7" s="208"/>
      <c r="G7" s="208"/>
      <c r="H7" s="208"/>
      <c r="I7" s="209"/>
    </row>
    <row r="8" spans="1:9" ht="15" x14ac:dyDescent="0.25">
      <c r="A8" s="210">
        <f>+A7+0.01</f>
        <v>1.01</v>
      </c>
      <c r="B8" s="211" t="s">
        <v>172</v>
      </c>
      <c r="C8" s="212"/>
      <c r="D8" s="213"/>
      <c r="E8" s="213"/>
      <c r="F8" s="213"/>
      <c r="G8" s="213"/>
      <c r="H8" s="213"/>
      <c r="I8" s="68"/>
    </row>
    <row r="9" spans="1:9" ht="15" x14ac:dyDescent="0.25">
      <c r="A9" s="69">
        <f>+A8+0.0001</f>
        <v>1.0101</v>
      </c>
      <c r="B9" s="70" t="s">
        <v>627</v>
      </c>
      <c r="C9" s="71" t="s">
        <v>173</v>
      </c>
      <c r="D9" s="72">
        <v>1</v>
      </c>
      <c r="E9" s="72"/>
      <c r="F9" s="72"/>
      <c r="G9" s="72"/>
      <c r="H9" s="72">
        <f>D9</f>
        <v>1</v>
      </c>
      <c r="I9" s="68">
        <f>H9</f>
        <v>1</v>
      </c>
    </row>
    <row r="10" spans="1:9" x14ac:dyDescent="0.3">
      <c r="A10" s="69">
        <f t="shared" ref="A10:A16" si="0">+A9+0.0001</f>
        <v>1.0102</v>
      </c>
      <c r="B10" s="70" t="s">
        <v>174</v>
      </c>
      <c r="C10" s="71" t="s">
        <v>173</v>
      </c>
      <c r="D10" s="72">
        <v>1</v>
      </c>
      <c r="E10" s="72"/>
      <c r="F10" s="72"/>
      <c r="G10" s="72"/>
      <c r="H10" s="72">
        <f>D10</f>
        <v>1</v>
      </c>
      <c r="I10" s="68">
        <f>H10</f>
        <v>1</v>
      </c>
    </row>
    <row r="11" spans="1:9" x14ac:dyDescent="0.3">
      <c r="A11" s="69">
        <f t="shared" si="0"/>
        <v>1.0103</v>
      </c>
      <c r="B11" s="70" t="s">
        <v>175</v>
      </c>
      <c r="C11" s="71" t="s">
        <v>173</v>
      </c>
      <c r="D11" s="72">
        <v>1</v>
      </c>
      <c r="E11" s="72"/>
      <c r="F11" s="72"/>
      <c r="G11" s="72"/>
      <c r="H11" s="72">
        <f>D11</f>
        <v>1</v>
      </c>
      <c r="I11" s="68">
        <f>H11</f>
        <v>1</v>
      </c>
    </row>
    <row r="12" spans="1:9" ht="15" x14ac:dyDescent="0.25">
      <c r="A12" s="69">
        <f t="shared" si="0"/>
        <v>1.0104</v>
      </c>
      <c r="B12" s="70" t="s">
        <v>176</v>
      </c>
      <c r="C12" s="71" t="s">
        <v>177</v>
      </c>
      <c r="D12" s="72">
        <v>6</v>
      </c>
      <c r="E12" s="72"/>
      <c r="F12" s="72"/>
      <c r="G12" s="72"/>
      <c r="H12" s="72">
        <f t="shared" ref="H12:H13" si="1">D12</f>
        <v>6</v>
      </c>
      <c r="I12" s="68">
        <f>+'PLANILLA DE METRADOS'!D12</f>
        <v>3</v>
      </c>
    </row>
    <row r="13" spans="1:9" x14ac:dyDescent="0.3">
      <c r="A13" s="69">
        <f t="shared" si="0"/>
        <v>1.0105</v>
      </c>
      <c r="B13" s="214" t="s">
        <v>178</v>
      </c>
      <c r="C13" s="71" t="s">
        <v>177</v>
      </c>
      <c r="D13" s="72">
        <v>6</v>
      </c>
      <c r="E13" s="72"/>
      <c r="F13" s="72"/>
      <c r="G13" s="72"/>
      <c r="H13" s="72">
        <f t="shared" si="1"/>
        <v>6</v>
      </c>
      <c r="I13" s="68">
        <f>+'PLANILLA DE METRADOS'!D13</f>
        <v>3</v>
      </c>
    </row>
    <row r="14" spans="1:9" ht="15" x14ac:dyDescent="0.25">
      <c r="A14" s="69">
        <f t="shared" si="0"/>
        <v>1.0105999999999999</v>
      </c>
      <c r="B14" s="70" t="s">
        <v>179</v>
      </c>
      <c r="C14" s="71" t="s">
        <v>180</v>
      </c>
      <c r="D14" s="72">
        <v>1</v>
      </c>
      <c r="E14" s="72"/>
      <c r="F14" s="72"/>
      <c r="G14" s="72"/>
      <c r="H14" s="72">
        <f t="shared" ref="H14:H27" si="2">ROUND(PRODUCT(D14:G14),2)</f>
        <v>1</v>
      </c>
      <c r="I14" s="68">
        <f t="shared" ref="I14:I16" si="3">+H14</f>
        <v>1</v>
      </c>
    </row>
    <row r="15" spans="1:9" x14ac:dyDescent="0.3">
      <c r="A15" s="69">
        <f t="shared" si="0"/>
        <v>1.0106999999999999</v>
      </c>
      <c r="B15" s="214" t="s">
        <v>181</v>
      </c>
      <c r="C15" s="71" t="s">
        <v>182</v>
      </c>
      <c r="D15" s="72">
        <v>1</v>
      </c>
      <c r="E15" s="72">
        <f>'METRADO DE ZANJA Y TUBERIA'!E116</f>
        <v>3568.71</v>
      </c>
      <c r="F15" s="72"/>
      <c r="G15" s="72"/>
      <c r="H15" s="72">
        <f t="shared" si="2"/>
        <v>3568.71</v>
      </c>
      <c r="I15" s="68">
        <f t="shared" si="3"/>
        <v>3568.71</v>
      </c>
    </row>
    <row r="16" spans="1:9" x14ac:dyDescent="0.3">
      <c r="A16" s="69">
        <f t="shared" si="0"/>
        <v>1.0107999999999999</v>
      </c>
      <c r="B16" s="214" t="s">
        <v>596</v>
      </c>
      <c r="C16" s="71" t="s">
        <v>180</v>
      </c>
      <c r="D16" s="72">
        <v>1</v>
      </c>
      <c r="E16" s="72"/>
      <c r="F16" s="72"/>
      <c r="G16" s="72"/>
      <c r="H16" s="72">
        <f t="shared" si="2"/>
        <v>1</v>
      </c>
      <c r="I16" s="68">
        <f t="shared" si="3"/>
        <v>1</v>
      </c>
    </row>
    <row r="17" spans="1:9" ht="15" hidden="1" x14ac:dyDescent="0.25">
      <c r="A17" s="69"/>
      <c r="B17" s="214" t="s">
        <v>598</v>
      </c>
      <c r="C17" s="71" t="s">
        <v>688</v>
      </c>
      <c r="D17" s="72">
        <v>80</v>
      </c>
      <c r="E17" s="72"/>
      <c r="F17" s="72"/>
      <c r="G17" s="72"/>
      <c r="H17" s="72">
        <f t="shared" si="2"/>
        <v>80</v>
      </c>
      <c r="I17" s="68"/>
    </row>
    <row r="18" spans="1:9" ht="15" hidden="1" x14ac:dyDescent="0.25">
      <c r="A18" s="69"/>
      <c r="B18" s="214" t="s">
        <v>599</v>
      </c>
      <c r="C18" s="71" t="s">
        <v>688</v>
      </c>
      <c r="D18" s="72">
        <v>80</v>
      </c>
      <c r="E18" s="72"/>
      <c r="F18" s="72"/>
      <c r="G18" s="72"/>
      <c r="H18" s="72">
        <f t="shared" si="2"/>
        <v>80</v>
      </c>
      <c r="I18" s="68"/>
    </row>
    <row r="19" spans="1:9" ht="15" hidden="1" x14ac:dyDescent="0.25">
      <c r="A19" s="69"/>
      <c r="B19" s="214" t="s">
        <v>600</v>
      </c>
      <c r="C19" s="71" t="s">
        <v>688</v>
      </c>
      <c r="D19" s="72">
        <v>80</v>
      </c>
      <c r="E19" s="72"/>
      <c r="F19" s="72"/>
      <c r="G19" s="72"/>
      <c r="H19" s="72">
        <f t="shared" si="2"/>
        <v>80</v>
      </c>
      <c r="I19" s="68"/>
    </row>
    <row r="20" spans="1:9" ht="15" hidden="1" x14ac:dyDescent="0.25">
      <c r="A20" s="69"/>
      <c r="B20" s="214" t="s">
        <v>597</v>
      </c>
      <c r="C20" s="71" t="s">
        <v>688</v>
      </c>
      <c r="D20" s="72">
        <v>80</v>
      </c>
      <c r="E20" s="72"/>
      <c r="F20" s="72"/>
      <c r="G20" s="72"/>
      <c r="H20" s="72">
        <f t="shared" si="2"/>
        <v>80</v>
      </c>
      <c r="I20" s="68"/>
    </row>
    <row r="21" spans="1:9" ht="15" hidden="1" x14ac:dyDescent="0.25">
      <c r="A21" s="69"/>
      <c r="B21" s="214" t="s">
        <v>601</v>
      </c>
      <c r="C21" s="71" t="s">
        <v>688</v>
      </c>
      <c r="D21" s="72">
        <v>80</v>
      </c>
      <c r="E21" s="72"/>
      <c r="F21" s="72"/>
      <c r="G21" s="72"/>
      <c r="H21" s="72">
        <f t="shared" si="2"/>
        <v>80</v>
      </c>
      <c r="I21" s="68"/>
    </row>
    <row r="22" spans="1:9" ht="15" hidden="1" x14ac:dyDescent="0.25">
      <c r="A22" s="69"/>
      <c r="B22" s="214" t="s">
        <v>682</v>
      </c>
      <c r="C22" s="71" t="s">
        <v>688</v>
      </c>
      <c r="D22" s="72">
        <v>81</v>
      </c>
      <c r="E22" s="72"/>
      <c r="F22" s="72"/>
      <c r="G22" s="72"/>
      <c r="H22" s="72">
        <v>80</v>
      </c>
      <c r="I22" s="68"/>
    </row>
    <row r="23" spans="1:9" ht="15" hidden="1" x14ac:dyDescent="0.25">
      <c r="A23" s="69"/>
      <c r="B23" s="214" t="s">
        <v>683</v>
      </c>
      <c r="C23" s="71" t="s">
        <v>688</v>
      </c>
      <c r="D23" s="72">
        <v>82</v>
      </c>
      <c r="E23" s="72"/>
      <c r="F23" s="72"/>
      <c r="G23" s="72"/>
      <c r="H23" s="72">
        <v>80</v>
      </c>
      <c r="I23" s="68"/>
    </row>
    <row r="24" spans="1:9" ht="15" hidden="1" x14ac:dyDescent="0.25">
      <c r="A24" s="69"/>
      <c r="B24" s="214" t="s">
        <v>684</v>
      </c>
      <c r="C24" s="71" t="s">
        <v>688</v>
      </c>
      <c r="D24" s="72">
        <v>83</v>
      </c>
      <c r="E24" s="72"/>
      <c r="F24" s="72"/>
      <c r="G24" s="72"/>
      <c r="H24" s="72">
        <v>80</v>
      </c>
      <c r="I24" s="68"/>
    </row>
    <row r="25" spans="1:9" ht="15" hidden="1" x14ac:dyDescent="0.25">
      <c r="A25" s="69"/>
      <c r="B25" s="214" t="s">
        <v>685</v>
      </c>
      <c r="C25" s="71" t="s">
        <v>688</v>
      </c>
      <c r="D25" s="72">
        <v>84</v>
      </c>
      <c r="E25" s="72"/>
      <c r="F25" s="72"/>
      <c r="G25" s="72"/>
      <c r="H25" s="72">
        <v>80</v>
      </c>
      <c r="I25" s="68"/>
    </row>
    <row r="26" spans="1:9" ht="15" hidden="1" x14ac:dyDescent="0.25">
      <c r="A26" s="69"/>
      <c r="B26" s="214" t="s">
        <v>686</v>
      </c>
      <c r="C26" s="71" t="s">
        <v>688</v>
      </c>
      <c r="D26" s="72">
        <v>85</v>
      </c>
      <c r="E26" s="72"/>
      <c r="F26" s="72"/>
      <c r="G26" s="72"/>
      <c r="H26" s="72">
        <v>80</v>
      </c>
      <c r="I26" s="68"/>
    </row>
    <row r="27" spans="1:9" x14ac:dyDescent="0.3">
      <c r="A27" s="69">
        <f>+A16+0.0001</f>
        <v>1.0108999999999999</v>
      </c>
      <c r="B27" s="214" t="s">
        <v>645</v>
      </c>
      <c r="C27" s="71" t="s">
        <v>180</v>
      </c>
      <c r="D27" s="72">
        <v>1</v>
      </c>
      <c r="E27" s="72"/>
      <c r="F27" s="72"/>
      <c r="G27" s="72"/>
      <c r="H27" s="72">
        <f t="shared" si="2"/>
        <v>1</v>
      </c>
      <c r="I27" s="68">
        <f t="shared" ref="I27" si="4">+H27</f>
        <v>1</v>
      </c>
    </row>
    <row r="28" spans="1:9" ht="15" hidden="1" x14ac:dyDescent="0.25">
      <c r="A28" s="215"/>
      <c r="B28" s="70"/>
      <c r="C28" s="71"/>
      <c r="D28" s="72"/>
      <c r="E28" s="72"/>
      <c r="F28" s="72"/>
      <c r="G28" s="72"/>
      <c r="H28" s="72"/>
      <c r="I28" s="68"/>
    </row>
    <row r="29" spans="1:9" ht="15" x14ac:dyDescent="0.25">
      <c r="A29" s="210">
        <f>+A8+0.01</f>
        <v>1.02</v>
      </c>
      <c r="B29" s="211" t="s">
        <v>183</v>
      </c>
      <c r="C29" s="71"/>
      <c r="D29" s="72"/>
      <c r="E29" s="72"/>
      <c r="F29" s="72"/>
      <c r="G29" s="72"/>
      <c r="H29" s="72"/>
      <c r="I29" s="68"/>
    </row>
    <row r="30" spans="1:9" ht="15" x14ac:dyDescent="0.25">
      <c r="A30" s="69">
        <f>+A29+0.0001</f>
        <v>1.0201</v>
      </c>
      <c r="B30" s="70" t="s">
        <v>184</v>
      </c>
      <c r="C30" s="71" t="s">
        <v>180</v>
      </c>
      <c r="D30" s="72">
        <v>1</v>
      </c>
      <c r="E30" s="72"/>
      <c r="F30" s="72"/>
      <c r="G30" s="72"/>
      <c r="H30" s="72">
        <f t="shared" ref="H30" si="5">ROUND(PRODUCT(D30:G30),2)</f>
        <v>1</v>
      </c>
      <c r="I30" s="68">
        <f t="shared" ref="I30" si="6">+H30</f>
        <v>1</v>
      </c>
    </row>
    <row r="31" spans="1:9" ht="15" hidden="1" x14ac:dyDescent="0.25">
      <c r="A31" s="69"/>
      <c r="B31" s="216" t="s">
        <v>185</v>
      </c>
      <c r="C31" s="71"/>
      <c r="D31" s="72"/>
      <c r="E31" s="72"/>
      <c r="F31" s="72"/>
      <c r="G31" s="72"/>
      <c r="H31" s="72"/>
      <c r="I31" s="68"/>
    </row>
    <row r="32" spans="1:9" ht="15" hidden="1" x14ac:dyDescent="0.25">
      <c r="A32" s="69"/>
      <c r="B32" s="217" t="s">
        <v>636</v>
      </c>
      <c r="C32" s="71" t="s">
        <v>180</v>
      </c>
      <c r="D32" s="72">
        <v>1</v>
      </c>
      <c r="E32" s="72"/>
      <c r="F32" s="72"/>
      <c r="G32" s="72"/>
      <c r="H32" s="72">
        <f t="shared" ref="H32:H40" si="7">ROUND(PRODUCT(D32:G32),2)</f>
        <v>1</v>
      </c>
      <c r="I32" s="68"/>
    </row>
    <row r="33" spans="1:9" ht="15" hidden="1" x14ac:dyDescent="0.25">
      <c r="A33" s="69"/>
      <c r="B33" s="217" t="s">
        <v>637</v>
      </c>
      <c r="C33" s="71" t="s">
        <v>180</v>
      </c>
      <c r="D33" s="72">
        <v>1</v>
      </c>
      <c r="E33" s="72"/>
      <c r="F33" s="72"/>
      <c r="G33" s="72"/>
      <c r="H33" s="72">
        <f t="shared" si="7"/>
        <v>1</v>
      </c>
      <c r="I33" s="68"/>
    </row>
    <row r="34" spans="1:9" ht="15" hidden="1" x14ac:dyDescent="0.25">
      <c r="A34" s="69"/>
      <c r="B34" s="217" t="s">
        <v>638</v>
      </c>
      <c r="C34" s="71" t="s">
        <v>180</v>
      </c>
      <c r="D34" s="72">
        <v>1</v>
      </c>
      <c r="E34" s="72"/>
      <c r="F34" s="72"/>
      <c r="G34" s="72"/>
      <c r="H34" s="72">
        <f t="shared" si="7"/>
        <v>1</v>
      </c>
      <c r="I34" s="68"/>
    </row>
    <row r="35" spans="1:9" ht="15" hidden="1" x14ac:dyDescent="0.25">
      <c r="A35" s="69"/>
      <c r="B35" s="217" t="s">
        <v>639</v>
      </c>
      <c r="C35" s="71" t="s">
        <v>180</v>
      </c>
      <c r="D35" s="72">
        <v>1</v>
      </c>
      <c r="E35" s="72"/>
      <c r="F35" s="72"/>
      <c r="G35" s="72"/>
      <c r="H35" s="72">
        <f t="shared" si="7"/>
        <v>1</v>
      </c>
      <c r="I35" s="68"/>
    </row>
    <row r="36" spans="1:9" ht="15" hidden="1" x14ac:dyDescent="0.25">
      <c r="A36" s="69"/>
      <c r="B36" s="217" t="s">
        <v>640</v>
      </c>
      <c r="C36" s="71" t="s">
        <v>180</v>
      </c>
      <c r="D36" s="72">
        <v>1</v>
      </c>
      <c r="E36" s="72"/>
      <c r="F36" s="72"/>
      <c r="G36" s="72"/>
      <c r="H36" s="72">
        <f t="shared" si="7"/>
        <v>1</v>
      </c>
      <c r="I36" s="68"/>
    </row>
    <row r="37" spans="1:9" ht="15" hidden="1" x14ac:dyDescent="0.25">
      <c r="A37" s="69"/>
      <c r="B37" s="217" t="s">
        <v>641</v>
      </c>
      <c r="C37" s="71" t="s">
        <v>180</v>
      </c>
      <c r="D37" s="72">
        <v>1</v>
      </c>
      <c r="E37" s="72"/>
      <c r="F37" s="72"/>
      <c r="G37" s="72"/>
      <c r="H37" s="72">
        <f t="shared" si="7"/>
        <v>1</v>
      </c>
      <c r="I37" s="68"/>
    </row>
    <row r="38" spans="1:9" ht="15" hidden="1" x14ac:dyDescent="0.25">
      <c r="A38" s="69"/>
      <c r="B38" s="217" t="s">
        <v>642</v>
      </c>
      <c r="C38" s="71" t="s">
        <v>180</v>
      </c>
      <c r="D38" s="72">
        <v>1</v>
      </c>
      <c r="E38" s="72"/>
      <c r="F38" s="72"/>
      <c r="G38" s="72"/>
      <c r="H38" s="72">
        <f t="shared" si="7"/>
        <v>1</v>
      </c>
      <c r="I38" s="68"/>
    </row>
    <row r="39" spans="1:9" ht="15" hidden="1" x14ac:dyDescent="0.25">
      <c r="A39" s="69"/>
      <c r="B39" s="217" t="s">
        <v>643</v>
      </c>
      <c r="C39" s="71" t="s">
        <v>180</v>
      </c>
      <c r="D39" s="72">
        <v>1</v>
      </c>
      <c r="E39" s="72"/>
      <c r="F39" s="72"/>
      <c r="G39" s="72"/>
      <c r="H39" s="72">
        <f t="shared" si="7"/>
        <v>1</v>
      </c>
      <c r="I39" s="68"/>
    </row>
    <row r="40" spans="1:9" ht="15" hidden="1" x14ac:dyDescent="0.25">
      <c r="A40" s="69"/>
      <c r="B40" s="217" t="s">
        <v>644</v>
      </c>
      <c r="C40" s="71" t="s">
        <v>180</v>
      </c>
      <c r="D40" s="72">
        <v>1</v>
      </c>
      <c r="E40" s="72"/>
      <c r="F40" s="72"/>
      <c r="G40" s="72"/>
      <c r="H40" s="72">
        <f t="shared" si="7"/>
        <v>1</v>
      </c>
      <c r="I40" s="68"/>
    </row>
    <row r="41" spans="1:9" ht="15" hidden="1" x14ac:dyDescent="0.25">
      <c r="A41" s="215"/>
      <c r="B41" s="70"/>
      <c r="C41" s="71"/>
      <c r="D41" s="72"/>
      <c r="E41" s="72"/>
      <c r="F41" s="72"/>
      <c r="G41" s="72"/>
      <c r="H41" s="72"/>
      <c r="I41" s="68"/>
    </row>
    <row r="42" spans="1:9" ht="15" x14ac:dyDescent="0.25">
      <c r="A42" s="210">
        <f>+A29+0.01</f>
        <v>1.03</v>
      </c>
      <c r="B42" s="211" t="s">
        <v>187</v>
      </c>
      <c r="C42" s="212"/>
      <c r="D42" s="213"/>
      <c r="E42" s="213"/>
      <c r="F42" s="213"/>
      <c r="G42" s="213"/>
      <c r="H42" s="213"/>
      <c r="I42" s="68"/>
    </row>
    <row r="43" spans="1:9" x14ac:dyDescent="0.3">
      <c r="A43" s="69">
        <f>+A42+0.0001</f>
        <v>1.0301</v>
      </c>
      <c r="B43" s="70" t="s">
        <v>646</v>
      </c>
      <c r="C43" s="71" t="s">
        <v>188</v>
      </c>
      <c r="D43" s="72">
        <v>1</v>
      </c>
      <c r="E43" s="72">
        <f>+E15/1000</f>
        <v>3.5687099999999998</v>
      </c>
      <c r="F43" s="72"/>
      <c r="G43" s="72"/>
      <c r="H43" s="72">
        <f>D43*E43</f>
        <v>3.5687099999999998</v>
      </c>
      <c r="I43" s="68">
        <f>H43</f>
        <v>3.5687099999999998</v>
      </c>
    </row>
    <row r="44" spans="1:9" x14ac:dyDescent="0.3">
      <c r="A44" s="69">
        <f t="shared" ref="A44:A46" si="8">+A43+0.0001</f>
        <v>1.0302</v>
      </c>
      <c r="B44" s="70" t="s">
        <v>189</v>
      </c>
      <c r="C44" s="71" t="s">
        <v>188</v>
      </c>
      <c r="D44" s="72">
        <v>1</v>
      </c>
      <c r="E44" s="72">
        <f>+E43</f>
        <v>3.5687099999999998</v>
      </c>
      <c r="F44" s="72"/>
      <c r="G44" s="72"/>
      <c r="H44" s="72">
        <f>D44*E44</f>
        <v>3.5687099999999998</v>
      </c>
      <c r="I44" s="68">
        <f>H44</f>
        <v>3.5687099999999998</v>
      </c>
    </row>
    <row r="45" spans="1:9" x14ac:dyDescent="0.3">
      <c r="A45" s="69">
        <f t="shared" si="8"/>
        <v>1.0303</v>
      </c>
      <c r="B45" s="214" t="s">
        <v>190</v>
      </c>
      <c r="C45" s="71" t="s">
        <v>182</v>
      </c>
      <c r="D45" s="72">
        <v>1</v>
      </c>
      <c r="E45" s="72">
        <f>'METRADO DE ZANJA Y TUBERIA'!E117</f>
        <v>3677.3999999999996</v>
      </c>
      <c r="F45" s="72"/>
      <c r="G45" s="72"/>
      <c r="H45" s="72">
        <f>E45*D45</f>
        <v>3677.3999999999996</v>
      </c>
      <c r="I45" s="68">
        <f>H45</f>
        <v>3677.3999999999996</v>
      </c>
    </row>
    <row r="46" spans="1:9" x14ac:dyDescent="0.3">
      <c r="A46" s="69">
        <f t="shared" si="8"/>
        <v>1.0304</v>
      </c>
      <c r="B46" s="214" t="s">
        <v>628</v>
      </c>
      <c r="C46" s="71" t="s">
        <v>182</v>
      </c>
      <c r="D46" s="72">
        <v>1</v>
      </c>
      <c r="E46" s="72">
        <f>'METRADO DE ZANJA Y TUBERIA'!E118</f>
        <v>141.03</v>
      </c>
      <c r="F46" s="72"/>
      <c r="G46" s="72"/>
      <c r="H46" s="72">
        <f>E46*D46</f>
        <v>141.03</v>
      </c>
      <c r="I46" s="68">
        <f>H46</f>
        <v>141.03</v>
      </c>
    </row>
    <row r="47" spans="1:9" ht="15" hidden="1" x14ac:dyDescent="0.25">
      <c r="A47" s="218"/>
      <c r="B47" s="219"/>
      <c r="C47" s="220"/>
      <c r="D47" s="113"/>
      <c r="E47" s="113"/>
      <c r="F47" s="113"/>
      <c r="G47" s="113"/>
      <c r="H47" s="113"/>
      <c r="I47" s="221"/>
    </row>
    <row r="48" spans="1:9" ht="15" x14ac:dyDescent="0.25">
      <c r="A48" s="210">
        <f>+A42+0.01</f>
        <v>1.04</v>
      </c>
      <c r="B48" s="211" t="s">
        <v>191</v>
      </c>
      <c r="C48" s="212"/>
      <c r="D48" s="213"/>
      <c r="E48" s="213"/>
      <c r="F48" s="213"/>
      <c r="G48" s="213"/>
      <c r="H48" s="213"/>
      <c r="I48" s="68"/>
    </row>
    <row r="49" spans="1:9" ht="15" x14ac:dyDescent="0.25">
      <c r="A49" s="222">
        <f>+A48+0.0001</f>
        <v>1.0401</v>
      </c>
      <c r="B49" s="223" t="s">
        <v>192</v>
      </c>
      <c r="C49" s="71"/>
      <c r="D49" s="72"/>
      <c r="E49" s="72"/>
      <c r="F49" s="72"/>
      <c r="G49" s="72"/>
      <c r="H49" s="72"/>
      <c r="I49" s="68"/>
    </row>
    <row r="50" spans="1:9" ht="15" x14ac:dyDescent="0.25">
      <c r="A50" s="167">
        <f>+A49+0.000001</f>
        <v>1.0401009999999999</v>
      </c>
      <c r="B50" s="224" t="s">
        <v>647</v>
      </c>
      <c r="C50" s="71" t="s">
        <v>193</v>
      </c>
      <c r="D50" s="72">
        <v>1</v>
      </c>
      <c r="E50" s="72">
        <f>'METRADO DE ZANJA Y TUBERIA'!C122</f>
        <v>1819.6100000000004</v>
      </c>
      <c r="F50" s="72">
        <v>1.2</v>
      </c>
      <c r="G50" s="72"/>
      <c r="H50" s="72">
        <f>ROUND(PRODUCT(D50:G50),2)</f>
        <v>2183.5300000000002</v>
      </c>
      <c r="I50" s="68">
        <f>+H50</f>
        <v>2183.5300000000002</v>
      </c>
    </row>
    <row r="51" spans="1:9" x14ac:dyDescent="0.3">
      <c r="A51" s="167">
        <f t="shared" ref="A51:A53" si="9">+A50+0.000001</f>
        <v>1.0401019999999999</v>
      </c>
      <c r="B51" s="225" t="s">
        <v>194</v>
      </c>
      <c r="C51" s="71" t="s">
        <v>193</v>
      </c>
      <c r="D51" s="72">
        <v>1</v>
      </c>
      <c r="E51" s="72">
        <f>'METRADO DE ZANJA Y TUBERIA'!C124</f>
        <v>1773.1999999999998</v>
      </c>
      <c r="F51" s="72">
        <v>1.2</v>
      </c>
      <c r="G51" s="72"/>
      <c r="H51" s="72">
        <f t="shared" ref="H51:H53" si="10">ROUND(PRODUCT(D51:G51),2)</f>
        <v>2127.84</v>
      </c>
      <c r="I51" s="68">
        <f t="shared" ref="I51:I53" si="11">+H51</f>
        <v>2127.84</v>
      </c>
    </row>
    <row r="52" spans="1:9" x14ac:dyDescent="0.3">
      <c r="A52" s="167">
        <f t="shared" si="9"/>
        <v>1.0401029999999998</v>
      </c>
      <c r="B52" s="224" t="s">
        <v>648</v>
      </c>
      <c r="C52" s="71" t="s">
        <v>197</v>
      </c>
      <c r="D52" s="72">
        <f>'METRADO DE BUZONES'!L110</f>
        <v>96</v>
      </c>
      <c r="E52" s="72">
        <v>2.2000000000000002</v>
      </c>
      <c r="F52" s="72">
        <v>1.2</v>
      </c>
      <c r="G52" s="72"/>
      <c r="H52" s="72">
        <f t="shared" si="10"/>
        <v>253.44</v>
      </c>
      <c r="I52" s="68">
        <f t="shared" si="11"/>
        <v>253.44</v>
      </c>
    </row>
    <row r="53" spans="1:9" x14ac:dyDescent="0.3">
      <c r="A53" s="167">
        <f t="shared" si="9"/>
        <v>1.0401039999999997</v>
      </c>
      <c r="B53" s="224" t="s">
        <v>195</v>
      </c>
      <c r="C53" s="71" t="s">
        <v>193</v>
      </c>
      <c r="D53" s="72">
        <v>1</v>
      </c>
      <c r="E53" s="72">
        <f>'METRADO DE ZANJA Y TUBERIA'!C126</f>
        <v>239.68</v>
      </c>
      <c r="F53" s="72">
        <v>1.2</v>
      </c>
      <c r="G53" s="72"/>
      <c r="H53" s="72">
        <f t="shared" si="10"/>
        <v>287.62</v>
      </c>
      <c r="I53" s="68">
        <f t="shared" si="11"/>
        <v>287.62</v>
      </c>
    </row>
    <row r="54" spans="1:9" ht="15" hidden="1" x14ac:dyDescent="0.25">
      <c r="A54" s="215"/>
      <c r="B54" s="217"/>
      <c r="C54" s="71"/>
      <c r="D54" s="72"/>
      <c r="E54" s="72"/>
      <c r="F54" s="72"/>
      <c r="G54" s="72"/>
      <c r="H54" s="72"/>
      <c r="I54" s="68"/>
    </row>
    <row r="55" spans="1:9" x14ac:dyDescent="0.3">
      <c r="A55" s="222">
        <f>+A49+0.0001</f>
        <v>1.0402</v>
      </c>
      <c r="B55" s="223" t="s">
        <v>196</v>
      </c>
      <c r="C55" s="212"/>
      <c r="D55" s="213"/>
      <c r="E55" s="213"/>
      <c r="F55" s="213"/>
      <c r="G55" s="213"/>
      <c r="H55" s="213"/>
      <c r="I55" s="68"/>
    </row>
    <row r="56" spans="1:9" x14ac:dyDescent="0.3">
      <c r="A56" s="167">
        <f>+A55+0.000001</f>
        <v>1.0402009999999999</v>
      </c>
      <c r="B56" s="225" t="s">
        <v>649</v>
      </c>
      <c r="C56" s="71" t="s">
        <v>173</v>
      </c>
      <c r="D56" s="72">
        <f>'METRADO DE BUZONES'!G114</f>
        <v>14</v>
      </c>
      <c r="E56" s="72"/>
      <c r="F56" s="72"/>
      <c r="G56" s="72"/>
      <c r="H56" s="72">
        <f t="shared" ref="H56:H71" si="12">D56</f>
        <v>14</v>
      </c>
      <c r="I56" s="68">
        <f t="shared" ref="I56:I71" si="13">H56</f>
        <v>14</v>
      </c>
    </row>
    <row r="57" spans="1:9" x14ac:dyDescent="0.3">
      <c r="A57" s="167">
        <f t="shared" ref="A57:A71" si="14">+A56+0.000001</f>
        <v>1.0402019999999998</v>
      </c>
      <c r="B57" s="225" t="s">
        <v>650</v>
      </c>
      <c r="C57" s="71" t="s">
        <v>173</v>
      </c>
      <c r="D57" s="72">
        <f>'METRADO DE BUZONES'!G115</f>
        <v>13</v>
      </c>
      <c r="E57" s="72"/>
      <c r="F57" s="72"/>
      <c r="G57" s="72"/>
      <c r="H57" s="72">
        <f t="shared" si="12"/>
        <v>13</v>
      </c>
      <c r="I57" s="68">
        <f t="shared" si="13"/>
        <v>13</v>
      </c>
    </row>
    <row r="58" spans="1:9" x14ac:dyDescent="0.3">
      <c r="A58" s="167">
        <f t="shared" si="14"/>
        <v>1.0402029999999998</v>
      </c>
      <c r="B58" s="225" t="s">
        <v>651</v>
      </c>
      <c r="C58" s="71" t="s">
        <v>173</v>
      </c>
      <c r="D58" s="72">
        <f>'METRADO DE BUZONES'!G116</f>
        <v>15</v>
      </c>
      <c r="E58" s="72"/>
      <c r="F58" s="72"/>
      <c r="G58" s="72"/>
      <c r="H58" s="72">
        <f t="shared" si="12"/>
        <v>15</v>
      </c>
      <c r="I58" s="68">
        <f t="shared" si="13"/>
        <v>15</v>
      </c>
    </row>
    <row r="59" spans="1:9" x14ac:dyDescent="0.3">
      <c r="A59" s="167">
        <f t="shared" si="14"/>
        <v>1.0402039999999997</v>
      </c>
      <c r="B59" s="225" t="s">
        <v>652</v>
      </c>
      <c r="C59" s="71" t="s">
        <v>173</v>
      </c>
      <c r="D59" s="72">
        <f>'METRADO DE BUZONES'!G117</f>
        <v>17</v>
      </c>
      <c r="E59" s="72"/>
      <c r="F59" s="72"/>
      <c r="G59" s="72"/>
      <c r="H59" s="72">
        <f t="shared" si="12"/>
        <v>17</v>
      </c>
      <c r="I59" s="68">
        <f t="shared" si="13"/>
        <v>17</v>
      </c>
    </row>
    <row r="60" spans="1:9" x14ac:dyDescent="0.3">
      <c r="A60" s="167">
        <f t="shared" si="14"/>
        <v>1.0402049999999996</v>
      </c>
      <c r="B60" s="225" t="s">
        <v>653</v>
      </c>
      <c r="C60" s="71" t="s">
        <v>173</v>
      </c>
      <c r="D60" s="72">
        <f>'METRADO DE BUZONES'!G118</f>
        <v>14</v>
      </c>
      <c r="E60" s="72"/>
      <c r="F60" s="72"/>
      <c r="G60" s="72"/>
      <c r="H60" s="72">
        <f t="shared" si="12"/>
        <v>14</v>
      </c>
      <c r="I60" s="68">
        <f t="shared" si="13"/>
        <v>14</v>
      </c>
    </row>
    <row r="61" spans="1:9" x14ac:dyDescent="0.3">
      <c r="A61" s="167">
        <f t="shared" si="14"/>
        <v>1.0402059999999995</v>
      </c>
      <c r="B61" s="225" t="s">
        <v>654</v>
      </c>
      <c r="C61" s="71" t="s">
        <v>173</v>
      </c>
      <c r="D61" s="72">
        <f>'METRADO DE BUZONES'!G119</f>
        <v>4</v>
      </c>
      <c r="E61" s="72"/>
      <c r="F61" s="72"/>
      <c r="G61" s="72"/>
      <c r="H61" s="72">
        <f t="shared" si="12"/>
        <v>4</v>
      </c>
      <c r="I61" s="68">
        <f t="shared" si="13"/>
        <v>4</v>
      </c>
    </row>
    <row r="62" spans="1:9" x14ac:dyDescent="0.3">
      <c r="A62" s="167">
        <f t="shared" si="14"/>
        <v>1.0402069999999994</v>
      </c>
      <c r="B62" s="225" t="s">
        <v>321</v>
      </c>
      <c r="C62" s="71" t="s">
        <v>197</v>
      </c>
      <c r="D62" s="72"/>
      <c r="E62" s="72"/>
      <c r="F62" s="72"/>
      <c r="G62" s="72"/>
      <c r="H62" s="72"/>
      <c r="I62" s="68">
        <f>SUM(H63:H65)</f>
        <v>10.913892878570943</v>
      </c>
    </row>
    <row r="63" spans="1:9" ht="15" hidden="1" x14ac:dyDescent="0.25">
      <c r="A63" s="167"/>
      <c r="B63" s="227" t="s">
        <v>198</v>
      </c>
      <c r="C63" s="71"/>
      <c r="D63" s="72">
        <f>'METRADO DE BUZONES'!H114</f>
        <v>6</v>
      </c>
      <c r="E63" s="72"/>
      <c r="F63" s="228" t="s">
        <v>199</v>
      </c>
      <c r="G63" s="113">
        <v>1.25</v>
      </c>
      <c r="H63" s="113">
        <f>PI()*0.6*0.6*(G63-0.2)*D63</f>
        <v>7.1251321383416517</v>
      </c>
      <c r="I63" s="68"/>
    </row>
    <row r="64" spans="1:9" ht="15" hidden="1" x14ac:dyDescent="0.25">
      <c r="A64" s="167"/>
      <c r="B64" s="227" t="s">
        <v>200</v>
      </c>
      <c r="C64" s="71"/>
      <c r="D64" s="72">
        <f>'METRADO DE BUZONES'!H116</f>
        <v>1</v>
      </c>
      <c r="E64" s="72"/>
      <c r="F64" s="228" t="s">
        <v>199</v>
      </c>
      <c r="G64" s="113">
        <v>1.75</v>
      </c>
      <c r="H64" s="113">
        <f t="shared" ref="H64:H65" si="15">PI()*0.6*0.6*(G64-0.2)*D64</f>
        <v>1.7530087007031048</v>
      </c>
      <c r="I64" s="68"/>
    </row>
    <row r="65" spans="1:9" ht="15" hidden="1" x14ac:dyDescent="0.25">
      <c r="A65" s="167"/>
      <c r="B65" s="227" t="s">
        <v>201</v>
      </c>
      <c r="C65" s="71"/>
      <c r="D65" s="72">
        <f>'METRADO DE BUZONES'!H117</f>
        <v>1</v>
      </c>
      <c r="E65" s="72"/>
      <c r="F65" s="228" t="s">
        <v>199</v>
      </c>
      <c r="G65" s="113">
        <v>2</v>
      </c>
      <c r="H65" s="113">
        <f t="shared" si="15"/>
        <v>2.0357520395261859</v>
      </c>
      <c r="I65" s="68"/>
    </row>
    <row r="66" spans="1:9" x14ac:dyDescent="0.3">
      <c r="A66" s="167">
        <f>+A62+0.000001</f>
        <v>1.0402079999999994</v>
      </c>
      <c r="B66" s="225" t="s">
        <v>316</v>
      </c>
      <c r="C66" s="71" t="s">
        <v>173</v>
      </c>
      <c r="D66" s="72">
        <f>'METRADO DE BUZONES'!I114</f>
        <v>2</v>
      </c>
      <c r="E66" s="72"/>
      <c r="F66" s="72"/>
      <c r="G66" s="72"/>
      <c r="H66" s="72">
        <f t="shared" si="12"/>
        <v>2</v>
      </c>
      <c r="I66" s="68">
        <f t="shared" si="13"/>
        <v>2</v>
      </c>
    </row>
    <row r="67" spans="1:9" x14ac:dyDescent="0.3">
      <c r="A67" s="167">
        <f t="shared" si="14"/>
        <v>1.0402089999999993</v>
      </c>
      <c r="B67" s="225" t="s">
        <v>317</v>
      </c>
      <c r="C67" s="71" t="s">
        <v>173</v>
      </c>
      <c r="D67" s="72">
        <f>'METRADO DE BUZONES'!I115</f>
        <v>1</v>
      </c>
      <c r="E67" s="72"/>
      <c r="F67" s="72"/>
      <c r="G67" s="72"/>
      <c r="H67" s="72">
        <f t="shared" si="12"/>
        <v>1</v>
      </c>
      <c r="I67" s="68">
        <f t="shared" si="13"/>
        <v>1</v>
      </c>
    </row>
    <row r="68" spans="1:9" x14ac:dyDescent="0.3">
      <c r="A68" s="167">
        <f t="shared" si="14"/>
        <v>1.0402099999999992</v>
      </c>
      <c r="B68" s="225" t="s">
        <v>318</v>
      </c>
      <c r="C68" s="71" t="s">
        <v>173</v>
      </c>
      <c r="D68" s="72">
        <f>'METRADO DE BUZONES'!I116</f>
        <v>1</v>
      </c>
      <c r="E68" s="72"/>
      <c r="F68" s="72"/>
      <c r="G68" s="72"/>
      <c r="H68" s="72">
        <f t="shared" si="12"/>
        <v>1</v>
      </c>
      <c r="I68" s="68">
        <f t="shared" si="13"/>
        <v>1</v>
      </c>
    </row>
    <row r="69" spans="1:9" x14ac:dyDescent="0.3">
      <c r="A69" s="167">
        <f t="shared" si="14"/>
        <v>1.0402109999999991</v>
      </c>
      <c r="B69" s="225" t="s">
        <v>319</v>
      </c>
      <c r="C69" s="71" t="s">
        <v>173</v>
      </c>
      <c r="D69" s="72">
        <f>'METRADO DE BUZONES'!I117</f>
        <v>2</v>
      </c>
      <c r="E69" s="72"/>
      <c r="F69" s="72"/>
      <c r="G69" s="72"/>
      <c r="H69" s="72">
        <f t="shared" si="12"/>
        <v>2</v>
      </c>
      <c r="I69" s="68">
        <f t="shared" si="13"/>
        <v>2</v>
      </c>
    </row>
    <row r="70" spans="1:9" x14ac:dyDescent="0.3">
      <c r="A70" s="167">
        <f t="shared" si="14"/>
        <v>1.040211999999999</v>
      </c>
      <c r="B70" s="225" t="s">
        <v>320</v>
      </c>
      <c r="C70" s="71" t="s">
        <v>173</v>
      </c>
      <c r="D70" s="72">
        <f>'METRADO DE BUZONES'!I118</f>
        <v>1</v>
      </c>
      <c r="E70" s="72"/>
      <c r="F70" s="72"/>
      <c r="G70" s="72"/>
      <c r="H70" s="72">
        <f t="shared" si="12"/>
        <v>1</v>
      </c>
      <c r="I70" s="68">
        <f t="shared" si="13"/>
        <v>1</v>
      </c>
    </row>
    <row r="71" spans="1:9" x14ac:dyDescent="0.3">
      <c r="A71" s="167">
        <f t="shared" si="14"/>
        <v>1.0402129999999989</v>
      </c>
      <c r="B71" s="225" t="s">
        <v>322</v>
      </c>
      <c r="C71" s="71" t="s">
        <v>182</v>
      </c>
      <c r="D71" s="307">
        <f>'TUB ANULAR O SELLAR'!A12</f>
        <v>349.8</v>
      </c>
      <c r="E71" s="72"/>
      <c r="F71" s="72"/>
      <c r="G71" s="72"/>
      <c r="H71" s="72">
        <f t="shared" si="12"/>
        <v>349.8</v>
      </c>
      <c r="I71" s="68">
        <f t="shared" si="13"/>
        <v>349.8</v>
      </c>
    </row>
    <row r="72" spans="1:9" x14ac:dyDescent="0.3">
      <c r="A72" s="210">
        <f>+A48+0.01</f>
        <v>1.05</v>
      </c>
      <c r="B72" s="211" t="s">
        <v>202</v>
      </c>
      <c r="C72" s="212"/>
      <c r="D72" s="213"/>
      <c r="E72" s="213"/>
      <c r="F72" s="213"/>
      <c r="G72" s="213"/>
      <c r="H72" s="213"/>
      <c r="I72" s="68"/>
    </row>
    <row r="73" spans="1:9" x14ac:dyDescent="0.3">
      <c r="A73" s="222">
        <f>+A72+0.0001</f>
        <v>1.0501</v>
      </c>
      <c r="B73" s="223" t="s">
        <v>203</v>
      </c>
      <c r="C73" s="212"/>
      <c r="D73" s="213"/>
      <c r="E73" s="213"/>
      <c r="F73" s="213"/>
      <c r="G73" s="213"/>
      <c r="H73" s="213"/>
      <c r="I73" s="68"/>
    </row>
    <row r="74" spans="1:9" x14ac:dyDescent="0.3">
      <c r="A74" s="167">
        <f>+A73+0.000001</f>
        <v>1.050101</v>
      </c>
      <c r="B74" s="224" t="s">
        <v>204</v>
      </c>
      <c r="C74" s="71" t="s">
        <v>182</v>
      </c>
      <c r="D74" s="72">
        <v>1</v>
      </c>
      <c r="E74" s="72">
        <f>'METRADO DE ZANJA Y TUBERIA'!E101</f>
        <v>30.4</v>
      </c>
      <c r="F74" s="72"/>
      <c r="G74" s="72"/>
      <c r="H74" s="72">
        <f t="shared" ref="H74:H100" si="16">ROUND(PRODUCT(D74:G74),2)</f>
        <v>30.4</v>
      </c>
      <c r="I74" s="68">
        <f>H74</f>
        <v>30.4</v>
      </c>
    </row>
    <row r="75" spans="1:9" x14ac:dyDescent="0.3">
      <c r="A75" s="167">
        <f t="shared" ref="A75:A96" si="17">+A74+0.000001</f>
        <v>1.0501019999999999</v>
      </c>
      <c r="B75" s="224" t="s">
        <v>205</v>
      </c>
      <c r="C75" s="71" t="s">
        <v>182</v>
      </c>
      <c r="D75" s="72">
        <v>1</v>
      </c>
      <c r="E75" s="72">
        <f>'METRADO DE ZANJA Y TUBERIA'!F101</f>
        <v>207.39</v>
      </c>
      <c r="F75" s="72"/>
      <c r="G75" s="72"/>
      <c r="H75" s="72">
        <f t="shared" si="16"/>
        <v>207.39</v>
      </c>
      <c r="I75" s="68">
        <f t="shared" ref="I75:I95" si="18">H75</f>
        <v>207.39</v>
      </c>
    </row>
    <row r="76" spans="1:9" x14ac:dyDescent="0.3">
      <c r="A76" s="167">
        <f t="shared" si="17"/>
        <v>1.0501029999999998</v>
      </c>
      <c r="B76" s="224" t="s">
        <v>206</v>
      </c>
      <c r="C76" s="71" t="s">
        <v>182</v>
      </c>
      <c r="D76" s="72">
        <v>1</v>
      </c>
      <c r="E76" s="72">
        <f>'METRADO DE ZANJA Y TUBERIA'!G101</f>
        <v>456</v>
      </c>
      <c r="F76" s="72"/>
      <c r="G76" s="72"/>
      <c r="H76" s="72">
        <f t="shared" si="16"/>
        <v>456</v>
      </c>
      <c r="I76" s="68">
        <f t="shared" si="18"/>
        <v>456</v>
      </c>
    </row>
    <row r="77" spans="1:9" x14ac:dyDescent="0.3">
      <c r="A77" s="167">
        <f t="shared" si="17"/>
        <v>1.0501039999999997</v>
      </c>
      <c r="B77" s="224" t="s">
        <v>207</v>
      </c>
      <c r="C77" s="71" t="s">
        <v>182</v>
      </c>
      <c r="D77" s="72">
        <v>1</v>
      </c>
      <c r="E77" s="72">
        <f>'METRADO DE ZANJA Y TUBERIA'!H101</f>
        <v>744.42</v>
      </c>
      <c r="F77" s="72"/>
      <c r="G77" s="72"/>
      <c r="H77" s="72">
        <f t="shared" si="16"/>
        <v>744.42</v>
      </c>
      <c r="I77" s="68">
        <f t="shared" si="18"/>
        <v>744.42</v>
      </c>
    </row>
    <row r="78" spans="1:9" x14ac:dyDescent="0.3">
      <c r="A78" s="167">
        <f t="shared" si="17"/>
        <v>1.0501049999999996</v>
      </c>
      <c r="B78" s="224" t="s">
        <v>208</v>
      </c>
      <c r="C78" s="71" t="s">
        <v>182</v>
      </c>
      <c r="D78" s="72">
        <v>1</v>
      </c>
      <c r="E78" s="72">
        <f>'METRADO DE ZANJA Y TUBERIA'!I101</f>
        <v>100.99</v>
      </c>
      <c r="F78" s="72"/>
      <c r="G78" s="72"/>
      <c r="H78" s="72">
        <f t="shared" si="16"/>
        <v>100.99</v>
      </c>
      <c r="I78" s="68">
        <f t="shared" si="18"/>
        <v>100.99</v>
      </c>
    </row>
    <row r="79" spans="1:9" x14ac:dyDescent="0.3">
      <c r="A79" s="167">
        <f t="shared" si="17"/>
        <v>1.0501059999999995</v>
      </c>
      <c r="B79" s="224" t="s">
        <v>209</v>
      </c>
      <c r="C79" s="71" t="s">
        <v>182</v>
      </c>
      <c r="D79" s="72">
        <v>1</v>
      </c>
      <c r="E79" s="72">
        <f>'METRADO DE ZANJA Y TUBERIA'!I105</f>
        <v>47.31</v>
      </c>
      <c r="F79" s="72"/>
      <c r="G79" s="72"/>
      <c r="H79" s="72">
        <f t="shared" si="16"/>
        <v>47.31</v>
      </c>
      <c r="I79" s="68">
        <f t="shared" si="18"/>
        <v>47.31</v>
      </c>
    </row>
    <row r="80" spans="1:9" x14ac:dyDescent="0.3">
      <c r="A80" s="167">
        <f t="shared" si="17"/>
        <v>1.0501069999999995</v>
      </c>
      <c r="B80" s="224" t="s">
        <v>210</v>
      </c>
      <c r="C80" s="71" t="s">
        <v>182</v>
      </c>
      <c r="D80" s="72">
        <v>1</v>
      </c>
      <c r="E80" s="72">
        <f>'METRADO DE ZANJA Y TUBERIA'!J105</f>
        <v>54.63</v>
      </c>
      <c r="F80" s="72"/>
      <c r="G80" s="72"/>
      <c r="H80" s="72">
        <f t="shared" si="16"/>
        <v>54.63</v>
      </c>
      <c r="I80" s="68">
        <f t="shared" si="18"/>
        <v>54.63</v>
      </c>
    </row>
    <row r="81" spans="1:9" x14ac:dyDescent="0.3">
      <c r="A81" s="167">
        <f t="shared" si="17"/>
        <v>1.0501079999999994</v>
      </c>
      <c r="B81" s="224" t="s">
        <v>211</v>
      </c>
      <c r="C81" s="71" t="s">
        <v>182</v>
      </c>
      <c r="D81" s="72">
        <v>1</v>
      </c>
      <c r="E81" s="72">
        <f>E77</f>
        <v>744.42</v>
      </c>
      <c r="F81" s="72"/>
      <c r="G81" s="72"/>
      <c r="H81" s="72">
        <f t="shared" si="16"/>
        <v>744.42</v>
      </c>
      <c r="I81" s="68">
        <f t="shared" si="18"/>
        <v>744.42</v>
      </c>
    </row>
    <row r="82" spans="1:9" x14ac:dyDescent="0.3">
      <c r="A82" s="167">
        <f t="shared" si="17"/>
        <v>1.0501089999999993</v>
      </c>
      <c r="B82" s="224" t="s">
        <v>212</v>
      </c>
      <c r="C82" s="71" t="s">
        <v>182</v>
      </c>
      <c r="D82" s="72">
        <v>1</v>
      </c>
      <c r="E82" s="72">
        <f>E78+E80+E79</f>
        <v>202.93</v>
      </c>
      <c r="F82" s="72"/>
      <c r="G82" s="72"/>
      <c r="H82" s="72">
        <f t="shared" si="16"/>
        <v>202.93</v>
      </c>
      <c r="I82" s="68">
        <f t="shared" si="18"/>
        <v>202.93</v>
      </c>
    </row>
    <row r="83" spans="1:9" x14ac:dyDescent="0.3">
      <c r="A83" s="167">
        <f t="shared" si="17"/>
        <v>1.0501099999999992</v>
      </c>
      <c r="B83" s="224" t="s">
        <v>213</v>
      </c>
      <c r="C83" s="71" t="s">
        <v>182</v>
      </c>
      <c r="D83" s="72">
        <v>1</v>
      </c>
      <c r="E83" s="72">
        <f>SUM(E74:E78)</f>
        <v>1539.2</v>
      </c>
      <c r="F83" s="72"/>
      <c r="G83" s="72"/>
      <c r="H83" s="72">
        <f t="shared" si="16"/>
        <v>1539.2</v>
      </c>
      <c r="I83" s="68">
        <f t="shared" si="18"/>
        <v>1539.2</v>
      </c>
    </row>
    <row r="84" spans="1:9" x14ac:dyDescent="0.3">
      <c r="A84" s="167">
        <f t="shared" si="17"/>
        <v>1.0501109999999991</v>
      </c>
      <c r="B84" s="224" t="s">
        <v>214</v>
      </c>
      <c r="C84" s="71" t="s">
        <v>182</v>
      </c>
      <c r="D84" s="72">
        <v>1</v>
      </c>
      <c r="E84" s="72">
        <f>SUM(E79:E80)</f>
        <v>101.94</v>
      </c>
      <c r="F84" s="72"/>
      <c r="G84" s="72"/>
      <c r="H84" s="72">
        <f t="shared" si="16"/>
        <v>101.94</v>
      </c>
      <c r="I84" s="68">
        <f t="shared" si="18"/>
        <v>101.94</v>
      </c>
    </row>
    <row r="85" spans="1:9" x14ac:dyDescent="0.3">
      <c r="A85" s="167">
        <f t="shared" si="17"/>
        <v>1.050111999999999</v>
      </c>
      <c r="B85" s="224" t="s">
        <v>215</v>
      </c>
      <c r="C85" s="71" t="s">
        <v>182</v>
      </c>
      <c r="D85" s="72">
        <v>1</v>
      </c>
      <c r="E85" s="72">
        <f t="shared" ref="E85:E91" si="19">+E74</f>
        <v>30.4</v>
      </c>
      <c r="F85" s="72"/>
      <c r="G85" s="72"/>
      <c r="H85" s="72">
        <f t="shared" si="16"/>
        <v>30.4</v>
      </c>
      <c r="I85" s="68">
        <f t="shared" si="18"/>
        <v>30.4</v>
      </c>
    </row>
    <row r="86" spans="1:9" x14ac:dyDescent="0.3">
      <c r="A86" s="167">
        <f t="shared" si="17"/>
        <v>1.050112999999999</v>
      </c>
      <c r="B86" s="224" t="s">
        <v>216</v>
      </c>
      <c r="C86" s="71" t="s">
        <v>182</v>
      </c>
      <c r="D86" s="72">
        <v>1</v>
      </c>
      <c r="E86" s="72">
        <f t="shared" si="19"/>
        <v>207.39</v>
      </c>
      <c r="F86" s="72"/>
      <c r="G86" s="72"/>
      <c r="H86" s="72">
        <f t="shared" si="16"/>
        <v>207.39</v>
      </c>
      <c r="I86" s="68">
        <f t="shared" si="18"/>
        <v>207.39</v>
      </c>
    </row>
    <row r="87" spans="1:9" x14ac:dyDescent="0.3">
      <c r="A87" s="167">
        <f t="shared" si="17"/>
        <v>1.0501139999999989</v>
      </c>
      <c r="B87" s="224" t="s">
        <v>217</v>
      </c>
      <c r="C87" s="71" t="s">
        <v>182</v>
      </c>
      <c r="D87" s="72">
        <v>1</v>
      </c>
      <c r="E87" s="72">
        <f t="shared" si="19"/>
        <v>456</v>
      </c>
      <c r="F87" s="72"/>
      <c r="G87" s="72"/>
      <c r="H87" s="72">
        <f t="shared" si="16"/>
        <v>456</v>
      </c>
      <c r="I87" s="68">
        <f t="shared" si="18"/>
        <v>456</v>
      </c>
    </row>
    <row r="88" spans="1:9" x14ac:dyDescent="0.3">
      <c r="A88" s="167">
        <f t="shared" si="17"/>
        <v>1.0501149999999988</v>
      </c>
      <c r="B88" s="224" t="s">
        <v>218</v>
      </c>
      <c r="C88" s="71" t="s">
        <v>182</v>
      </c>
      <c r="D88" s="72">
        <v>1</v>
      </c>
      <c r="E88" s="72">
        <f t="shared" si="19"/>
        <v>744.42</v>
      </c>
      <c r="F88" s="72"/>
      <c r="G88" s="72"/>
      <c r="H88" s="72">
        <f t="shared" si="16"/>
        <v>744.42</v>
      </c>
      <c r="I88" s="68">
        <f t="shared" si="18"/>
        <v>744.42</v>
      </c>
    </row>
    <row r="89" spans="1:9" x14ac:dyDescent="0.3">
      <c r="A89" s="167">
        <f t="shared" si="17"/>
        <v>1.0501159999999987</v>
      </c>
      <c r="B89" s="224" t="s">
        <v>219</v>
      </c>
      <c r="C89" s="71" t="s">
        <v>182</v>
      </c>
      <c r="D89" s="72">
        <v>1</v>
      </c>
      <c r="E89" s="72">
        <f t="shared" si="19"/>
        <v>100.99</v>
      </c>
      <c r="F89" s="72"/>
      <c r="G89" s="72"/>
      <c r="H89" s="72">
        <f t="shared" si="16"/>
        <v>100.99</v>
      </c>
      <c r="I89" s="68">
        <f t="shared" si="18"/>
        <v>100.99</v>
      </c>
    </row>
    <row r="90" spans="1:9" x14ac:dyDescent="0.3">
      <c r="A90" s="167">
        <f t="shared" si="17"/>
        <v>1.0501169999999986</v>
      </c>
      <c r="B90" s="224" t="s">
        <v>221</v>
      </c>
      <c r="C90" s="71" t="s">
        <v>182</v>
      </c>
      <c r="D90" s="72">
        <v>1</v>
      </c>
      <c r="E90" s="72">
        <f t="shared" si="19"/>
        <v>47.31</v>
      </c>
      <c r="F90" s="72"/>
      <c r="G90" s="72"/>
      <c r="H90" s="72">
        <f t="shared" si="16"/>
        <v>47.31</v>
      </c>
      <c r="I90" s="68">
        <f t="shared" si="18"/>
        <v>47.31</v>
      </c>
    </row>
    <row r="91" spans="1:9" x14ac:dyDescent="0.3">
      <c r="A91" s="167">
        <f t="shared" si="17"/>
        <v>1.0501179999999986</v>
      </c>
      <c r="B91" s="224" t="s">
        <v>222</v>
      </c>
      <c r="C91" s="71" t="s">
        <v>182</v>
      </c>
      <c r="D91" s="72">
        <v>1</v>
      </c>
      <c r="E91" s="72">
        <f t="shared" si="19"/>
        <v>54.63</v>
      </c>
      <c r="F91" s="72"/>
      <c r="G91" s="72"/>
      <c r="H91" s="72">
        <f t="shared" si="16"/>
        <v>54.63</v>
      </c>
      <c r="I91" s="68">
        <f t="shared" si="18"/>
        <v>54.63</v>
      </c>
    </row>
    <row r="92" spans="1:9" x14ac:dyDescent="0.3">
      <c r="A92" s="167">
        <f t="shared" si="17"/>
        <v>1.0501189999999985</v>
      </c>
      <c r="B92" s="224" t="s">
        <v>223</v>
      </c>
      <c r="C92" s="71" t="s">
        <v>182</v>
      </c>
      <c r="D92" s="72">
        <v>1</v>
      </c>
      <c r="E92" s="72">
        <f>+E83</f>
        <v>1539.2</v>
      </c>
      <c r="F92" s="72"/>
      <c r="G92" s="72"/>
      <c r="H92" s="72">
        <f t="shared" si="16"/>
        <v>1539.2</v>
      </c>
      <c r="I92" s="68">
        <f t="shared" si="18"/>
        <v>1539.2</v>
      </c>
    </row>
    <row r="93" spans="1:9" x14ac:dyDescent="0.3">
      <c r="A93" s="167">
        <f t="shared" si="17"/>
        <v>1.0501199999999984</v>
      </c>
      <c r="B93" s="224" t="s">
        <v>224</v>
      </c>
      <c r="C93" s="71" t="s">
        <v>182</v>
      </c>
      <c r="D93" s="72">
        <v>1</v>
      </c>
      <c r="E93" s="72">
        <f>+E84</f>
        <v>101.94</v>
      </c>
      <c r="F93" s="72"/>
      <c r="G93" s="72"/>
      <c r="H93" s="72">
        <f t="shared" si="16"/>
        <v>101.94</v>
      </c>
      <c r="I93" s="68">
        <f t="shared" si="18"/>
        <v>101.94</v>
      </c>
    </row>
    <row r="94" spans="1:9" x14ac:dyDescent="0.3">
      <c r="A94" s="167">
        <f t="shared" si="17"/>
        <v>1.0501209999999983</v>
      </c>
      <c r="B94" s="230" t="s">
        <v>225</v>
      </c>
      <c r="C94" s="220" t="s">
        <v>182</v>
      </c>
      <c r="D94" s="113">
        <v>1</v>
      </c>
      <c r="E94" s="113">
        <f>E83</f>
        <v>1539.2</v>
      </c>
      <c r="F94" s="113"/>
      <c r="G94" s="113"/>
      <c r="H94" s="72">
        <f t="shared" si="16"/>
        <v>1539.2</v>
      </c>
      <c r="I94" s="229">
        <f t="shared" si="18"/>
        <v>1539.2</v>
      </c>
    </row>
    <row r="95" spans="1:9" x14ac:dyDescent="0.3">
      <c r="A95" s="167">
        <f t="shared" si="17"/>
        <v>1.0501219999999982</v>
      </c>
      <c r="B95" s="230" t="s">
        <v>338</v>
      </c>
      <c r="C95" s="220" t="s">
        <v>182</v>
      </c>
      <c r="D95" s="113">
        <v>1</v>
      </c>
      <c r="E95" s="113">
        <f>E84</f>
        <v>101.94</v>
      </c>
      <c r="F95" s="113"/>
      <c r="G95" s="113"/>
      <c r="H95" s="72">
        <f t="shared" si="16"/>
        <v>101.94</v>
      </c>
      <c r="I95" s="229">
        <f t="shared" si="18"/>
        <v>101.94</v>
      </c>
    </row>
    <row r="96" spans="1:9" x14ac:dyDescent="0.3">
      <c r="A96" s="167">
        <f t="shared" si="17"/>
        <v>1.0501229999999981</v>
      </c>
      <c r="B96" s="230" t="s">
        <v>655</v>
      </c>
      <c r="C96" s="220" t="s">
        <v>197</v>
      </c>
      <c r="D96" s="113"/>
      <c r="E96" s="113"/>
      <c r="F96" s="113"/>
      <c r="G96" s="231"/>
      <c r="H96" s="72">
        <f>ROUNDUP((H100+H104),0)</f>
        <v>35</v>
      </c>
      <c r="I96" s="229">
        <f>+H96</f>
        <v>35</v>
      </c>
    </row>
    <row r="97" spans="1:9" ht="15" hidden="1" x14ac:dyDescent="0.25">
      <c r="A97" s="167"/>
      <c r="B97" s="232" t="s">
        <v>340</v>
      </c>
      <c r="C97" s="220"/>
      <c r="D97" s="113"/>
      <c r="E97" s="113"/>
      <c r="F97" s="113"/>
      <c r="G97" s="231"/>
      <c r="H97" s="72"/>
      <c r="I97" s="229"/>
    </row>
    <row r="98" spans="1:9" ht="15" hidden="1" x14ac:dyDescent="0.25">
      <c r="A98" s="167"/>
      <c r="B98" s="233" t="s">
        <v>226</v>
      </c>
      <c r="C98" s="220"/>
      <c r="D98" s="228" t="s">
        <v>227</v>
      </c>
      <c r="E98" s="234">
        <v>0.12</v>
      </c>
      <c r="F98" s="113" t="s">
        <v>228</v>
      </c>
      <c r="G98" s="231">
        <f>PI()*E98*E98</f>
        <v>4.5238934211693019E-2</v>
      </c>
      <c r="H98" s="72"/>
      <c r="I98" s="229"/>
    </row>
    <row r="99" spans="1:9" ht="15" hidden="1" x14ac:dyDescent="0.25">
      <c r="A99" s="167"/>
      <c r="B99" s="233" t="s">
        <v>229</v>
      </c>
      <c r="C99" s="220"/>
      <c r="D99" s="228" t="s">
        <v>227</v>
      </c>
      <c r="E99" s="234">
        <v>0.1</v>
      </c>
      <c r="F99" s="113" t="s">
        <v>228</v>
      </c>
      <c r="G99" s="231">
        <f>PI()*E99*E99</f>
        <v>3.1415926535897934E-2</v>
      </c>
      <c r="H99" s="72"/>
      <c r="I99" s="229"/>
    </row>
    <row r="100" spans="1:9" ht="15" hidden="1" x14ac:dyDescent="0.25">
      <c r="A100" s="167"/>
      <c r="B100" s="233"/>
      <c r="C100" s="235" t="s">
        <v>230</v>
      </c>
      <c r="D100" s="113">
        <v>1.35</v>
      </c>
      <c r="E100" s="113">
        <f>+E94</f>
        <v>1539.2</v>
      </c>
      <c r="F100" s="113"/>
      <c r="G100" s="231">
        <f>+G98-G99</f>
        <v>1.3823007675795085E-2</v>
      </c>
      <c r="H100" s="72">
        <f t="shared" si="16"/>
        <v>28.72</v>
      </c>
      <c r="I100" s="229"/>
    </row>
    <row r="101" spans="1:9" ht="15" hidden="1" x14ac:dyDescent="0.25">
      <c r="A101" s="167"/>
      <c r="B101" s="232" t="s">
        <v>595</v>
      </c>
      <c r="C101" s="235"/>
      <c r="D101" s="113"/>
      <c r="E101" s="113"/>
      <c r="F101" s="113"/>
      <c r="G101" s="231"/>
      <c r="H101" s="72"/>
      <c r="I101" s="229"/>
    </row>
    <row r="102" spans="1:9" ht="15" hidden="1" x14ac:dyDescent="0.25">
      <c r="A102" s="167"/>
      <c r="B102" s="233" t="s">
        <v>226</v>
      </c>
      <c r="C102" s="220"/>
      <c r="D102" s="228" t="s">
        <v>227</v>
      </c>
      <c r="E102" s="234">
        <v>0.32</v>
      </c>
      <c r="F102" s="113" t="s">
        <v>228</v>
      </c>
      <c r="G102" s="231">
        <f>PI()*E102*E102</f>
        <v>0.32169908772759487</v>
      </c>
      <c r="H102" s="72"/>
      <c r="I102" s="229"/>
    </row>
    <row r="103" spans="1:9" ht="15" hidden="1" x14ac:dyDescent="0.25">
      <c r="A103" s="167"/>
      <c r="B103" s="233" t="s">
        <v>229</v>
      </c>
      <c r="C103" s="220"/>
      <c r="D103" s="228" t="s">
        <v>227</v>
      </c>
      <c r="E103" s="234">
        <v>0.3</v>
      </c>
      <c r="F103" s="113" t="s">
        <v>228</v>
      </c>
      <c r="G103" s="231">
        <f>PI()*E103*E103</f>
        <v>0.28274333882308139</v>
      </c>
      <c r="H103" s="72"/>
      <c r="I103" s="229"/>
    </row>
    <row r="104" spans="1:9" ht="15" hidden="1" x14ac:dyDescent="0.25">
      <c r="A104" s="236"/>
      <c r="B104" s="233"/>
      <c r="C104" s="235" t="s">
        <v>230</v>
      </c>
      <c r="D104" s="113">
        <v>1.35</v>
      </c>
      <c r="E104" s="113">
        <f>E95</f>
        <v>101.94</v>
      </c>
      <c r="F104" s="113"/>
      <c r="G104" s="231">
        <f>+G102-G103</f>
        <v>3.8955748904513476E-2</v>
      </c>
      <c r="H104" s="72">
        <f t="shared" ref="H104" si="20">ROUND(PRODUCT(D104:G104),2)</f>
        <v>5.36</v>
      </c>
      <c r="I104" s="229"/>
    </row>
    <row r="105" spans="1:9" ht="15" hidden="1" x14ac:dyDescent="0.25">
      <c r="A105" s="236"/>
      <c r="B105" s="233"/>
      <c r="C105" s="235"/>
      <c r="D105" s="113"/>
      <c r="E105" s="113"/>
      <c r="F105" s="113"/>
      <c r="G105" s="231"/>
      <c r="H105" s="72"/>
      <c r="I105" s="229"/>
    </row>
    <row r="106" spans="1:9" x14ac:dyDescent="0.3">
      <c r="A106" s="222">
        <f>+A73+0.0001</f>
        <v>1.0502</v>
      </c>
      <c r="B106" s="223" t="s">
        <v>231</v>
      </c>
      <c r="C106" s="212"/>
      <c r="D106" s="213"/>
      <c r="E106" s="213"/>
      <c r="F106" s="213"/>
      <c r="G106" s="213"/>
      <c r="H106" s="213"/>
      <c r="I106" s="68"/>
    </row>
    <row r="107" spans="1:9" x14ac:dyDescent="0.3">
      <c r="A107" s="167">
        <f>+A106+0.000001</f>
        <v>1.0502009999999999</v>
      </c>
      <c r="B107" s="225" t="s">
        <v>232</v>
      </c>
      <c r="C107" s="71" t="s">
        <v>173</v>
      </c>
      <c r="D107" s="72">
        <f>'MET. DE INTERFERENCIAS'!D174</f>
        <v>155</v>
      </c>
      <c r="E107" s="213"/>
      <c r="F107" s="213"/>
      <c r="G107" s="213"/>
      <c r="H107" s="72">
        <f t="shared" ref="H107:H132" si="21">ROUND(PRODUCT(D107:G107),2)</f>
        <v>155</v>
      </c>
      <c r="I107" s="68">
        <f t="shared" ref="I107:I132" si="22">H107</f>
        <v>155</v>
      </c>
    </row>
    <row r="108" spans="1:9" x14ac:dyDescent="0.3">
      <c r="A108" s="167">
        <f t="shared" ref="A108:A132" si="23">+A107+0.000001</f>
        <v>1.0502019999999999</v>
      </c>
      <c r="B108" s="225" t="s">
        <v>656</v>
      </c>
      <c r="C108" s="71" t="s">
        <v>173</v>
      </c>
      <c r="D108" s="72">
        <f>'MET. DE INTERFERENCIAS'!C178</f>
        <v>18</v>
      </c>
      <c r="E108" s="213"/>
      <c r="F108" s="213"/>
      <c r="G108" s="213"/>
      <c r="H108" s="72">
        <f t="shared" si="21"/>
        <v>18</v>
      </c>
      <c r="I108" s="68">
        <f t="shared" si="22"/>
        <v>18</v>
      </c>
    </row>
    <row r="109" spans="1:9" x14ac:dyDescent="0.3">
      <c r="A109" s="167">
        <f t="shared" si="23"/>
        <v>1.0502029999999998</v>
      </c>
      <c r="B109" s="225" t="s">
        <v>233</v>
      </c>
      <c r="C109" s="71" t="s">
        <v>182</v>
      </c>
      <c r="D109" s="72">
        <v>1</v>
      </c>
      <c r="E109" s="72">
        <f>'METRADO DE ZANJA Y TUBERIA'!F109</f>
        <v>325.45999999999998</v>
      </c>
      <c r="F109" s="72"/>
      <c r="G109" s="72"/>
      <c r="H109" s="72">
        <f t="shared" si="21"/>
        <v>325.45999999999998</v>
      </c>
      <c r="I109" s="68">
        <f t="shared" si="22"/>
        <v>325.45999999999998</v>
      </c>
    </row>
    <row r="110" spans="1:9" x14ac:dyDescent="0.3">
      <c r="A110" s="167">
        <f t="shared" si="23"/>
        <v>1.0502039999999997</v>
      </c>
      <c r="B110" s="225" t="s">
        <v>234</v>
      </c>
      <c r="C110" s="71" t="s">
        <v>182</v>
      </c>
      <c r="D110" s="72">
        <v>1</v>
      </c>
      <c r="E110" s="72">
        <f>'METRADO DE ZANJA Y TUBERIA'!G109</f>
        <v>419.03999999999996</v>
      </c>
      <c r="F110" s="72"/>
      <c r="G110" s="72"/>
      <c r="H110" s="72">
        <f t="shared" si="21"/>
        <v>419.04</v>
      </c>
      <c r="I110" s="68">
        <f t="shared" si="22"/>
        <v>419.04</v>
      </c>
    </row>
    <row r="111" spans="1:9" x14ac:dyDescent="0.3">
      <c r="A111" s="167">
        <f t="shared" si="23"/>
        <v>1.0502049999999996</v>
      </c>
      <c r="B111" s="225" t="s">
        <v>235</v>
      </c>
      <c r="C111" s="71" t="s">
        <v>182</v>
      </c>
      <c r="D111" s="72">
        <v>1</v>
      </c>
      <c r="E111" s="72">
        <f>'METRADO DE ZANJA Y TUBERIA'!H109</f>
        <v>499.65000000000003</v>
      </c>
      <c r="F111" s="72"/>
      <c r="G111" s="72"/>
      <c r="H111" s="72">
        <f t="shared" si="21"/>
        <v>499.65</v>
      </c>
      <c r="I111" s="68">
        <f t="shared" si="22"/>
        <v>499.65</v>
      </c>
    </row>
    <row r="112" spans="1:9" x14ac:dyDescent="0.3">
      <c r="A112" s="167">
        <f t="shared" si="23"/>
        <v>1.0502059999999995</v>
      </c>
      <c r="B112" s="225" t="s">
        <v>236</v>
      </c>
      <c r="C112" s="71" t="s">
        <v>182</v>
      </c>
      <c r="D112" s="72">
        <v>1</v>
      </c>
      <c r="E112" s="72">
        <f>'METRADO DE ZANJA Y TUBERIA'!I109</f>
        <v>559.62</v>
      </c>
      <c r="F112" s="72"/>
      <c r="G112" s="72"/>
      <c r="H112" s="72">
        <f t="shared" si="21"/>
        <v>559.62</v>
      </c>
      <c r="I112" s="68">
        <f t="shared" si="22"/>
        <v>559.62</v>
      </c>
    </row>
    <row r="113" spans="1:9" x14ac:dyDescent="0.3">
      <c r="A113" s="167">
        <f t="shared" si="23"/>
        <v>1.0502069999999994</v>
      </c>
      <c r="B113" s="225" t="s">
        <v>341</v>
      </c>
      <c r="C113" s="71" t="s">
        <v>182</v>
      </c>
      <c r="D113" s="72">
        <v>1</v>
      </c>
      <c r="E113" s="72">
        <f>'METRADO DE ZANJA Y TUBERIA'!J109</f>
        <v>89.490000000000009</v>
      </c>
      <c r="F113" s="72"/>
      <c r="G113" s="72"/>
      <c r="H113" s="72">
        <f t="shared" si="21"/>
        <v>89.49</v>
      </c>
      <c r="I113" s="68">
        <f t="shared" si="22"/>
        <v>89.49</v>
      </c>
    </row>
    <row r="114" spans="1:9" x14ac:dyDescent="0.3">
      <c r="A114" s="167">
        <f t="shared" si="23"/>
        <v>1.0502079999999994</v>
      </c>
      <c r="B114" s="225" t="s">
        <v>342</v>
      </c>
      <c r="C114" s="71" t="s">
        <v>182</v>
      </c>
      <c r="D114" s="72">
        <v>1</v>
      </c>
      <c r="E114" s="72">
        <f>'METRADO DE ZANJA Y TUBERIA'!I113</f>
        <v>34.31</v>
      </c>
      <c r="F114" s="72"/>
      <c r="G114" s="72"/>
      <c r="H114" s="72">
        <f t="shared" si="21"/>
        <v>34.31</v>
      </c>
      <c r="I114" s="68">
        <f t="shared" si="22"/>
        <v>34.31</v>
      </c>
    </row>
    <row r="115" spans="1:9" x14ac:dyDescent="0.3">
      <c r="A115" s="167">
        <f t="shared" si="23"/>
        <v>1.0502089999999993</v>
      </c>
      <c r="B115" s="224" t="s">
        <v>211</v>
      </c>
      <c r="C115" s="71" t="s">
        <v>182</v>
      </c>
      <c r="D115" s="72">
        <v>1</v>
      </c>
      <c r="E115" s="72">
        <f>+E111</f>
        <v>499.65000000000003</v>
      </c>
      <c r="F115" s="72"/>
      <c r="G115" s="72"/>
      <c r="H115" s="72">
        <f t="shared" si="21"/>
        <v>499.65</v>
      </c>
      <c r="I115" s="68">
        <f t="shared" si="22"/>
        <v>499.65</v>
      </c>
    </row>
    <row r="116" spans="1:9" x14ac:dyDescent="0.3">
      <c r="A116" s="167">
        <f t="shared" si="23"/>
        <v>1.0502099999999992</v>
      </c>
      <c r="B116" s="224" t="s">
        <v>212</v>
      </c>
      <c r="C116" s="71" t="s">
        <v>182</v>
      </c>
      <c r="D116" s="72">
        <v>1</v>
      </c>
      <c r="E116" s="72">
        <f>+E112+E113+E114</f>
        <v>683.42000000000007</v>
      </c>
      <c r="F116" s="72"/>
      <c r="G116" s="72"/>
      <c r="H116" s="72">
        <f t="shared" si="21"/>
        <v>683.42</v>
      </c>
      <c r="I116" s="68">
        <f t="shared" si="22"/>
        <v>683.42</v>
      </c>
    </row>
    <row r="117" spans="1:9" x14ac:dyDescent="0.3">
      <c r="A117" s="167">
        <f t="shared" si="23"/>
        <v>1.0502109999999991</v>
      </c>
      <c r="B117" s="224" t="s">
        <v>213</v>
      </c>
      <c r="C117" s="71" t="s">
        <v>182</v>
      </c>
      <c r="D117" s="72">
        <v>1</v>
      </c>
      <c r="E117" s="72">
        <f>SUM(E109:E113)</f>
        <v>1893.26</v>
      </c>
      <c r="F117" s="72"/>
      <c r="G117" s="72"/>
      <c r="H117" s="72">
        <f t="shared" si="21"/>
        <v>1893.26</v>
      </c>
      <c r="I117" s="68">
        <f t="shared" si="22"/>
        <v>1893.26</v>
      </c>
    </row>
    <row r="118" spans="1:9" x14ac:dyDescent="0.3">
      <c r="A118" s="167">
        <f t="shared" si="23"/>
        <v>1.050211999999999</v>
      </c>
      <c r="B118" s="224" t="s">
        <v>214</v>
      </c>
      <c r="C118" s="71" t="s">
        <v>182</v>
      </c>
      <c r="D118" s="72">
        <v>1</v>
      </c>
      <c r="E118" s="72">
        <f>SUM(E114:E114)</f>
        <v>34.31</v>
      </c>
      <c r="F118" s="72"/>
      <c r="G118" s="72"/>
      <c r="H118" s="72">
        <f t="shared" si="21"/>
        <v>34.31</v>
      </c>
      <c r="I118" s="68">
        <f t="shared" si="22"/>
        <v>34.31</v>
      </c>
    </row>
    <row r="119" spans="1:9" x14ac:dyDescent="0.3">
      <c r="A119" s="167">
        <f t="shared" si="23"/>
        <v>1.050212999999999</v>
      </c>
      <c r="B119" s="225" t="s">
        <v>216</v>
      </c>
      <c r="C119" s="71" t="s">
        <v>182</v>
      </c>
      <c r="D119" s="72">
        <v>1</v>
      </c>
      <c r="E119" s="72">
        <f>+E109</f>
        <v>325.45999999999998</v>
      </c>
      <c r="F119" s="72"/>
      <c r="G119" s="72"/>
      <c r="H119" s="72">
        <f t="shared" si="21"/>
        <v>325.45999999999998</v>
      </c>
      <c r="I119" s="68">
        <f t="shared" si="22"/>
        <v>325.45999999999998</v>
      </c>
    </row>
    <row r="120" spans="1:9" x14ac:dyDescent="0.3">
      <c r="A120" s="167">
        <f t="shared" si="23"/>
        <v>1.0502139999999989</v>
      </c>
      <c r="B120" s="225" t="s">
        <v>217</v>
      </c>
      <c r="C120" s="71" t="s">
        <v>182</v>
      </c>
      <c r="D120" s="72">
        <v>1</v>
      </c>
      <c r="E120" s="72">
        <f>+E110</f>
        <v>419.03999999999996</v>
      </c>
      <c r="F120" s="72"/>
      <c r="G120" s="72"/>
      <c r="H120" s="72">
        <f t="shared" si="21"/>
        <v>419.04</v>
      </c>
      <c r="I120" s="68">
        <f t="shared" si="22"/>
        <v>419.04</v>
      </c>
    </row>
    <row r="121" spans="1:9" x14ac:dyDescent="0.3">
      <c r="A121" s="167">
        <f t="shared" si="23"/>
        <v>1.0502149999999988</v>
      </c>
      <c r="B121" s="225" t="s">
        <v>218</v>
      </c>
      <c r="C121" s="71" t="s">
        <v>182</v>
      </c>
      <c r="D121" s="72">
        <v>1</v>
      </c>
      <c r="E121" s="72">
        <f>+E111</f>
        <v>499.65000000000003</v>
      </c>
      <c r="F121" s="72"/>
      <c r="G121" s="72"/>
      <c r="H121" s="72">
        <f t="shared" si="21"/>
        <v>499.65</v>
      </c>
      <c r="I121" s="68">
        <f t="shared" si="22"/>
        <v>499.65</v>
      </c>
    </row>
    <row r="122" spans="1:9" x14ac:dyDescent="0.3">
      <c r="A122" s="167">
        <f t="shared" si="23"/>
        <v>1.0502159999999987</v>
      </c>
      <c r="B122" s="225" t="s">
        <v>219</v>
      </c>
      <c r="C122" s="71" t="s">
        <v>182</v>
      </c>
      <c r="D122" s="72">
        <v>1</v>
      </c>
      <c r="E122" s="72">
        <f>+E112</f>
        <v>559.62</v>
      </c>
      <c r="F122" s="72"/>
      <c r="G122" s="72"/>
      <c r="H122" s="72">
        <f t="shared" si="21"/>
        <v>559.62</v>
      </c>
      <c r="I122" s="68">
        <f t="shared" si="22"/>
        <v>559.62</v>
      </c>
    </row>
    <row r="123" spans="1:9" x14ac:dyDescent="0.3">
      <c r="A123" s="167">
        <f t="shared" si="23"/>
        <v>1.0502169999999986</v>
      </c>
      <c r="B123" s="225" t="s">
        <v>220</v>
      </c>
      <c r="C123" s="71" t="s">
        <v>182</v>
      </c>
      <c r="D123" s="72">
        <v>1</v>
      </c>
      <c r="E123" s="72">
        <f>+E113</f>
        <v>89.490000000000009</v>
      </c>
      <c r="F123" s="72"/>
      <c r="G123" s="72"/>
      <c r="H123" s="72">
        <f t="shared" si="21"/>
        <v>89.49</v>
      </c>
      <c r="I123" s="68">
        <f t="shared" si="22"/>
        <v>89.49</v>
      </c>
    </row>
    <row r="124" spans="1:9" x14ac:dyDescent="0.3">
      <c r="A124" s="167">
        <f t="shared" si="23"/>
        <v>1.0502179999999985</v>
      </c>
      <c r="B124" s="225" t="s">
        <v>221</v>
      </c>
      <c r="C124" s="71" t="s">
        <v>182</v>
      </c>
      <c r="D124" s="72">
        <v>1</v>
      </c>
      <c r="E124" s="72">
        <f>E114</f>
        <v>34.31</v>
      </c>
      <c r="F124" s="72"/>
      <c r="G124" s="72"/>
      <c r="H124" s="72">
        <f t="shared" si="21"/>
        <v>34.31</v>
      </c>
      <c r="I124" s="68">
        <f t="shared" si="22"/>
        <v>34.31</v>
      </c>
    </row>
    <row r="125" spans="1:9" x14ac:dyDescent="0.3">
      <c r="A125" s="167">
        <f t="shared" si="23"/>
        <v>1.0502189999999985</v>
      </c>
      <c r="B125" s="225" t="s">
        <v>237</v>
      </c>
      <c r="C125" s="71" t="s">
        <v>182</v>
      </c>
      <c r="D125" s="72">
        <v>1</v>
      </c>
      <c r="E125" s="72">
        <f>+E117</f>
        <v>1893.26</v>
      </c>
      <c r="F125" s="72"/>
      <c r="G125" s="72"/>
      <c r="H125" s="72">
        <f t="shared" si="21"/>
        <v>1893.26</v>
      </c>
      <c r="I125" s="68">
        <f t="shared" si="22"/>
        <v>1893.26</v>
      </c>
    </row>
    <row r="126" spans="1:9" x14ac:dyDescent="0.3">
      <c r="A126" s="167">
        <f t="shared" si="23"/>
        <v>1.0502199999999984</v>
      </c>
      <c r="B126" s="225" t="s">
        <v>238</v>
      </c>
      <c r="C126" s="71" t="s">
        <v>182</v>
      </c>
      <c r="D126" s="72">
        <v>1</v>
      </c>
      <c r="E126" s="72">
        <f>+E125</f>
        <v>1893.26</v>
      </c>
      <c r="F126" s="72"/>
      <c r="G126" s="72"/>
      <c r="H126" s="72">
        <f t="shared" si="21"/>
        <v>1893.26</v>
      </c>
      <c r="I126" s="68">
        <f t="shared" si="22"/>
        <v>1893.26</v>
      </c>
    </row>
    <row r="127" spans="1:9" x14ac:dyDescent="0.3">
      <c r="A127" s="167">
        <f t="shared" si="23"/>
        <v>1.0502209999999983</v>
      </c>
      <c r="B127" s="225" t="s">
        <v>343</v>
      </c>
      <c r="C127" s="71" t="s">
        <v>182</v>
      </c>
      <c r="D127" s="72">
        <v>1</v>
      </c>
      <c r="E127" s="72">
        <f>+E118</f>
        <v>34.31</v>
      </c>
      <c r="F127" s="72"/>
      <c r="G127" s="72"/>
      <c r="H127" s="72">
        <f t="shared" si="21"/>
        <v>34.31</v>
      </c>
      <c r="I127" s="68">
        <f t="shared" si="22"/>
        <v>34.31</v>
      </c>
    </row>
    <row r="128" spans="1:9" x14ac:dyDescent="0.3">
      <c r="A128" s="167">
        <f t="shared" si="23"/>
        <v>1.0502219999999982</v>
      </c>
      <c r="B128" s="225" t="s">
        <v>344</v>
      </c>
      <c r="C128" s="71" t="s">
        <v>182</v>
      </c>
      <c r="D128" s="72">
        <v>1</v>
      </c>
      <c r="E128" s="72">
        <f>+E127</f>
        <v>34.31</v>
      </c>
      <c r="F128" s="72"/>
      <c r="G128" s="72"/>
      <c r="H128" s="72">
        <f t="shared" si="21"/>
        <v>34.31</v>
      </c>
      <c r="I128" s="68">
        <f t="shared" si="22"/>
        <v>34.31</v>
      </c>
    </row>
    <row r="129" spans="1:9" x14ac:dyDescent="0.3">
      <c r="A129" s="167">
        <f t="shared" si="23"/>
        <v>1.0502229999999981</v>
      </c>
      <c r="B129" s="230" t="s">
        <v>225</v>
      </c>
      <c r="C129" s="220" t="s">
        <v>182</v>
      </c>
      <c r="D129" s="113">
        <v>1</v>
      </c>
      <c r="E129" s="113">
        <f>E117</f>
        <v>1893.26</v>
      </c>
      <c r="F129" s="113"/>
      <c r="G129" s="113"/>
      <c r="H129" s="72">
        <f t="shared" si="21"/>
        <v>1893.26</v>
      </c>
      <c r="I129" s="229">
        <f t="shared" si="22"/>
        <v>1893.26</v>
      </c>
    </row>
    <row r="130" spans="1:9" x14ac:dyDescent="0.3">
      <c r="A130" s="167">
        <f t="shared" si="23"/>
        <v>1.050223999999998</v>
      </c>
      <c r="B130" s="230" t="s">
        <v>338</v>
      </c>
      <c r="C130" s="220" t="s">
        <v>182</v>
      </c>
      <c r="D130" s="113">
        <v>1</v>
      </c>
      <c r="E130" s="113">
        <f>E118</f>
        <v>34.31</v>
      </c>
      <c r="F130" s="113"/>
      <c r="G130" s="113"/>
      <c r="H130" s="72">
        <f t="shared" si="21"/>
        <v>34.31</v>
      </c>
      <c r="I130" s="229">
        <f t="shared" si="22"/>
        <v>34.31</v>
      </c>
    </row>
    <row r="131" spans="1:9" x14ac:dyDescent="0.3">
      <c r="A131" s="167">
        <f t="shared" si="23"/>
        <v>1.050224999999998</v>
      </c>
      <c r="B131" s="224" t="s">
        <v>223</v>
      </c>
      <c r="C131" s="71" t="s">
        <v>182</v>
      </c>
      <c r="D131" s="72">
        <v>1</v>
      </c>
      <c r="E131" s="72">
        <f>+E117</f>
        <v>1893.26</v>
      </c>
      <c r="F131" s="72"/>
      <c r="G131" s="72"/>
      <c r="H131" s="72">
        <f t="shared" si="21"/>
        <v>1893.26</v>
      </c>
      <c r="I131" s="68">
        <f t="shared" si="22"/>
        <v>1893.26</v>
      </c>
    </row>
    <row r="132" spans="1:9" x14ac:dyDescent="0.3">
      <c r="A132" s="167">
        <f t="shared" si="23"/>
        <v>1.0502259999999979</v>
      </c>
      <c r="B132" s="224" t="s">
        <v>224</v>
      </c>
      <c r="C132" s="71" t="s">
        <v>182</v>
      </c>
      <c r="D132" s="72">
        <v>1</v>
      </c>
      <c r="E132" s="72">
        <f>+E118</f>
        <v>34.31</v>
      </c>
      <c r="F132" s="72"/>
      <c r="G132" s="72"/>
      <c r="H132" s="72">
        <f t="shared" si="21"/>
        <v>34.31</v>
      </c>
      <c r="I132" s="68">
        <f t="shared" si="22"/>
        <v>34.31</v>
      </c>
    </row>
    <row r="133" spans="1:9" x14ac:dyDescent="0.3">
      <c r="A133" s="222">
        <f>+A106+0.0001</f>
        <v>1.0503</v>
      </c>
      <c r="B133" s="223" t="s">
        <v>239</v>
      </c>
      <c r="C133" s="220"/>
      <c r="D133" s="113"/>
      <c r="E133" s="113"/>
      <c r="F133" s="113"/>
      <c r="G133" s="113"/>
      <c r="H133" s="113"/>
      <c r="I133" s="229"/>
    </row>
    <row r="134" spans="1:9" x14ac:dyDescent="0.3">
      <c r="A134" s="167">
        <f t="shared" ref="A134:A161" si="24">+A133+0.000001</f>
        <v>1.0503009999999999</v>
      </c>
      <c r="B134" s="230" t="s">
        <v>240</v>
      </c>
      <c r="C134" s="220" t="s">
        <v>173</v>
      </c>
      <c r="D134" s="113">
        <f>'CUADRO DE CONEX DOMICILIARIAS'!W488</f>
        <v>264</v>
      </c>
      <c r="E134" s="113"/>
      <c r="F134" s="113"/>
      <c r="G134" s="113"/>
      <c r="H134" s="72">
        <f t="shared" ref="H134" si="25">ROUND(PRODUCT(D134:G134),2)</f>
        <v>264</v>
      </c>
      <c r="I134" s="68">
        <f t="shared" ref="I134" si="26">H134</f>
        <v>264</v>
      </c>
    </row>
    <row r="135" spans="1:9" ht="15" hidden="1" x14ac:dyDescent="0.25">
      <c r="A135" s="167"/>
      <c r="B135" s="230"/>
      <c r="C135" s="220"/>
      <c r="D135" s="113"/>
      <c r="E135" s="113"/>
      <c r="F135" s="113"/>
      <c r="G135" s="113"/>
      <c r="H135" s="72"/>
      <c r="I135" s="68"/>
    </row>
    <row r="136" spans="1:9" x14ac:dyDescent="0.3">
      <c r="A136" s="167">
        <f>+A134+0.000001</f>
        <v>1.0503019999999998</v>
      </c>
      <c r="B136" s="230" t="s">
        <v>241</v>
      </c>
      <c r="C136" s="220" t="s">
        <v>197</v>
      </c>
      <c r="D136" s="113"/>
      <c r="E136" s="113"/>
      <c r="F136" s="113"/>
      <c r="G136" s="113"/>
      <c r="H136" s="72"/>
      <c r="I136" s="68">
        <f>SUM(H137:H139)</f>
        <v>12.74</v>
      </c>
    </row>
    <row r="137" spans="1:9" ht="15" hidden="1" x14ac:dyDescent="0.25">
      <c r="A137" s="167"/>
      <c r="B137" s="164" t="s">
        <v>242</v>
      </c>
      <c r="C137" s="277"/>
      <c r="D137" s="72">
        <f>+D134</f>
        <v>264</v>
      </c>
      <c r="E137" s="72" t="s">
        <v>228</v>
      </c>
      <c r="F137" s="72">
        <f>0.3*0.1</f>
        <v>0.03</v>
      </c>
      <c r="G137" s="72">
        <v>0.5</v>
      </c>
      <c r="H137" s="72">
        <f t="shared" ref="H137:H161" si="27">ROUND(PRODUCT(D137:G137),2)</f>
        <v>3.96</v>
      </c>
      <c r="I137" s="68"/>
    </row>
    <row r="138" spans="1:9" ht="15" hidden="1" x14ac:dyDescent="0.25">
      <c r="A138" s="167"/>
      <c r="B138" s="164"/>
      <c r="C138" s="277"/>
      <c r="D138" s="72">
        <f>+D137</f>
        <v>264</v>
      </c>
      <c r="E138" s="72" t="s">
        <v>228</v>
      </c>
      <c r="F138" s="72">
        <f>0.35*0.1</f>
        <v>3.4999999999999996E-2</v>
      </c>
      <c r="G138" s="72">
        <v>0.5</v>
      </c>
      <c r="H138" s="72">
        <f t="shared" si="27"/>
        <v>4.62</v>
      </c>
      <c r="I138" s="68"/>
    </row>
    <row r="139" spans="1:9" ht="15" hidden="1" x14ac:dyDescent="0.25">
      <c r="A139" s="167"/>
      <c r="B139" s="164" t="s">
        <v>243</v>
      </c>
      <c r="C139" s="277"/>
      <c r="D139" s="72">
        <f>+D137</f>
        <v>264</v>
      </c>
      <c r="E139" s="72">
        <v>0.35</v>
      </c>
      <c r="F139" s="72">
        <v>0.3</v>
      </c>
      <c r="G139" s="72">
        <v>0.15</v>
      </c>
      <c r="H139" s="72">
        <f t="shared" si="27"/>
        <v>4.16</v>
      </c>
      <c r="I139" s="68"/>
    </row>
    <row r="140" spans="1:9" ht="15" hidden="1" x14ac:dyDescent="0.25">
      <c r="A140" s="167"/>
      <c r="B140" s="230"/>
      <c r="C140" s="278"/>
      <c r="D140" s="113"/>
      <c r="E140" s="113"/>
      <c r="F140" s="113"/>
      <c r="G140" s="113"/>
      <c r="H140" s="72"/>
      <c r="I140" s="68"/>
    </row>
    <row r="141" spans="1:9" x14ac:dyDescent="0.3">
      <c r="A141" s="167">
        <f>+A136+0.000001</f>
        <v>1.0503029999999998</v>
      </c>
      <c r="B141" s="230" t="s">
        <v>657</v>
      </c>
      <c r="C141" s="278" t="s">
        <v>197</v>
      </c>
      <c r="D141" s="113"/>
      <c r="E141" s="113"/>
      <c r="F141" s="113"/>
      <c r="G141" s="113"/>
      <c r="H141" s="72"/>
      <c r="I141" s="68">
        <f>SUM(H142:H144)</f>
        <v>12.74</v>
      </c>
    </row>
    <row r="142" spans="1:9" ht="15" hidden="1" x14ac:dyDescent="0.25">
      <c r="A142" s="167"/>
      <c r="B142" s="164" t="s">
        <v>242</v>
      </c>
      <c r="C142" s="277"/>
      <c r="D142" s="72">
        <f>+D134</f>
        <v>264</v>
      </c>
      <c r="E142" s="72" t="s">
        <v>228</v>
      </c>
      <c r="F142" s="72">
        <f>0.3*0.1</f>
        <v>0.03</v>
      </c>
      <c r="G142" s="72">
        <v>0.5</v>
      </c>
      <c r="H142" s="72">
        <f t="shared" ref="H142:H144" si="28">ROUND(PRODUCT(D142:G142),2)</f>
        <v>3.96</v>
      </c>
      <c r="I142" s="68"/>
    </row>
    <row r="143" spans="1:9" ht="15" hidden="1" x14ac:dyDescent="0.25">
      <c r="A143" s="167"/>
      <c r="B143" s="164"/>
      <c r="C143" s="277"/>
      <c r="D143" s="72">
        <f>+D142</f>
        <v>264</v>
      </c>
      <c r="E143" s="72" t="s">
        <v>228</v>
      </c>
      <c r="F143" s="72">
        <f>0.35*0.1</f>
        <v>3.4999999999999996E-2</v>
      </c>
      <c r="G143" s="72">
        <v>0.5</v>
      </c>
      <c r="H143" s="72">
        <f t="shared" si="28"/>
        <v>4.62</v>
      </c>
      <c r="I143" s="68"/>
    </row>
    <row r="144" spans="1:9" ht="15" hidden="1" x14ac:dyDescent="0.25">
      <c r="A144" s="167"/>
      <c r="B144" s="164" t="s">
        <v>243</v>
      </c>
      <c r="C144" s="277"/>
      <c r="D144" s="72">
        <f>+D142</f>
        <v>264</v>
      </c>
      <c r="E144" s="72">
        <v>0.35</v>
      </c>
      <c r="F144" s="72">
        <v>0.3</v>
      </c>
      <c r="G144" s="72">
        <v>0.15</v>
      </c>
      <c r="H144" s="72">
        <f t="shared" si="28"/>
        <v>4.16</v>
      </c>
      <c r="I144" s="68"/>
    </row>
    <row r="145" spans="1:9" ht="15" hidden="1" x14ac:dyDescent="0.25">
      <c r="A145" s="167"/>
      <c r="B145" s="230"/>
      <c r="C145" s="220"/>
      <c r="D145" s="113"/>
      <c r="E145" s="113"/>
      <c r="F145" s="113"/>
      <c r="G145" s="113"/>
      <c r="H145" s="72"/>
      <c r="I145" s="68"/>
    </row>
    <row r="146" spans="1:9" x14ac:dyDescent="0.3">
      <c r="A146" s="167">
        <f>+A141+0.000001</f>
        <v>1.0503039999999997</v>
      </c>
      <c r="B146" s="230" t="s">
        <v>194</v>
      </c>
      <c r="C146" s="220" t="s">
        <v>193</v>
      </c>
      <c r="D146" s="113"/>
      <c r="E146" s="113"/>
      <c r="F146" s="113"/>
      <c r="G146" s="113"/>
      <c r="H146" s="72"/>
      <c r="I146" s="68">
        <f>SUM(H147:H148)</f>
        <v>1818.71</v>
      </c>
    </row>
    <row r="147" spans="1:9" ht="15" hidden="1" x14ac:dyDescent="0.25">
      <c r="A147" s="167"/>
      <c r="B147" s="233" t="s">
        <v>244</v>
      </c>
      <c r="C147" s="220"/>
      <c r="D147" s="113"/>
      <c r="E147" s="113">
        <v>1430.71</v>
      </c>
      <c r="F147" s="113">
        <v>1</v>
      </c>
      <c r="G147" s="113"/>
      <c r="H147" s="72">
        <f t="shared" ref="H147:H148" si="29">ROUND(PRODUCT(D147:G147),2)</f>
        <v>1430.71</v>
      </c>
      <c r="I147" s="68"/>
    </row>
    <row r="148" spans="1:9" ht="15" hidden="1" x14ac:dyDescent="0.25">
      <c r="A148" s="167"/>
      <c r="B148" s="233" t="s">
        <v>245</v>
      </c>
      <c r="C148" s="220"/>
      <c r="D148" s="113"/>
      <c r="E148" s="113">
        <v>388</v>
      </c>
      <c r="F148" s="113">
        <v>1</v>
      </c>
      <c r="G148" s="113"/>
      <c r="H148" s="72">
        <f t="shared" si="29"/>
        <v>388</v>
      </c>
      <c r="I148" s="68"/>
    </row>
    <row r="149" spans="1:9" ht="15" hidden="1" x14ac:dyDescent="0.25">
      <c r="A149" s="167"/>
      <c r="B149" s="230"/>
      <c r="C149" s="220"/>
      <c r="D149" s="113"/>
      <c r="E149" s="113"/>
      <c r="F149" s="113"/>
      <c r="G149" s="113"/>
      <c r="H149" s="72"/>
      <c r="I149" s="68"/>
    </row>
    <row r="150" spans="1:9" x14ac:dyDescent="0.3">
      <c r="A150" s="167">
        <f>+A146+0.000001</f>
        <v>1.0503049999999996</v>
      </c>
      <c r="B150" s="230" t="s">
        <v>246</v>
      </c>
      <c r="C150" s="220" t="s">
        <v>182</v>
      </c>
      <c r="D150" s="113">
        <f t="shared" ref="D150:D161" si="30">D$134</f>
        <v>264</v>
      </c>
      <c r="E150" s="113">
        <v>3</v>
      </c>
      <c r="F150" s="113"/>
      <c r="G150" s="113"/>
      <c r="H150" s="72">
        <f t="shared" si="27"/>
        <v>792</v>
      </c>
      <c r="I150" s="68">
        <f t="shared" ref="I150:I161" si="31">H150</f>
        <v>792</v>
      </c>
    </row>
    <row r="151" spans="1:9" x14ac:dyDescent="0.3">
      <c r="A151" s="167">
        <f t="shared" si="24"/>
        <v>1.0503059999999995</v>
      </c>
      <c r="B151" s="230" t="s">
        <v>247</v>
      </c>
      <c r="C151" s="220" t="s">
        <v>182</v>
      </c>
      <c r="D151" s="113">
        <f t="shared" si="30"/>
        <v>264</v>
      </c>
      <c r="E151" s="113">
        <v>3</v>
      </c>
      <c r="F151" s="113"/>
      <c r="G151" s="113"/>
      <c r="H151" s="72">
        <f t="shared" si="27"/>
        <v>792</v>
      </c>
      <c r="I151" s="68">
        <f t="shared" si="31"/>
        <v>792</v>
      </c>
    </row>
    <row r="152" spans="1:9" x14ac:dyDescent="0.3">
      <c r="A152" s="167">
        <f t="shared" si="24"/>
        <v>1.0503069999999994</v>
      </c>
      <c r="B152" s="230" t="s">
        <v>248</v>
      </c>
      <c r="C152" s="220" t="s">
        <v>182</v>
      </c>
      <c r="D152" s="113">
        <f t="shared" si="30"/>
        <v>264</v>
      </c>
      <c r="E152" s="113">
        <v>3</v>
      </c>
      <c r="F152" s="113"/>
      <c r="G152" s="113"/>
      <c r="H152" s="72">
        <f t="shared" si="27"/>
        <v>792</v>
      </c>
      <c r="I152" s="68">
        <f t="shared" si="31"/>
        <v>792</v>
      </c>
    </row>
    <row r="153" spans="1:9" x14ac:dyDescent="0.3">
      <c r="A153" s="167">
        <f t="shared" si="24"/>
        <v>1.0503079999999994</v>
      </c>
      <c r="B153" s="230" t="s">
        <v>249</v>
      </c>
      <c r="C153" s="220" t="s">
        <v>182</v>
      </c>
      <c r="D153" s="113">
        <f t="shared" si="30"/>
        <v>264</v>
      </c>
      <c r="E153" s="113">
        <v>3</v>
      </c>
      <c r="F153" s="113"/>
      <c r="G153" s="113"/>
      <c r="H153" s="72">
        <f t="shared" si="27"/>
        <v>792</v>
      </c>
      <c r="I153" s="68">
        <f t="shared" si="31"/>
        <v>792</v>
      </c>
    </row>
    <row r="154" spans="1:9" x14ac:dyDescent="0.3">
      <c r="A154" s="167">
        <f t="shared" si="24"/>
        <v>1.0503089999999993</v>
      </c>
      <c r="B154" s="230" t="s">
        <v>250</v>
      </c>
      <c r="C154" s="220" t="s">
        <v>182</v>
      </c>
      <c r="D154" s="113">
        <f t="shared" si="30"/>
        <v>264</v>
      </c>
      <c r="E154" s="113">
        <v>3</v>
      </c>
      <c r="F154" s="113"/>
      <c r="G154" s="113"/>
      <c r="H154" s="72">
        <f t="shared" si="27"/>
        <v>792</v>
      </c>
      <c r="I154" s="68">
        <f t="shared" si="31"/>
        <v>792</v>
      </c>
    </row>
    <row r="155" spans="1:9" x14ac:dyDescent="0.3">
      <c r="A155" s="167">
        <f t="shared" si="24"/>
        <v>1.0503099999999992</v>
      </c>
      <c r="B155" s="230" t="s">
        <v>251</v>
      </c>
      <c r="C155" s="220" t="s">
        <v>182</v>
      </c>
      <c r="D155" s="113">
        <f t="shared" si="30"/>
        <v>264</v>
      </c>
      <c r="E155" s="113">
        <v>3</v>
      </c>
      <c r="F155" s="113"/>
      <c r="G155" s="113"/>
      <c r="H155" s="72">
        <f t="shared" si="27"/>
        <v>792</v>
      </c>
      <c r="I155" s="68">
        <f t="shared" si="31"/>
        <v>792</v>
      </c>
    </row>
    <row r="156" spans="1:9" x14ac:dyDescent="0.3">
      <c r="A156" s="167">
        <f t="shared" si="24"/>
        <v>1.0503109999999991</v>
      </c>
      <c r="B156" s="230" t="s">
        <v>252</v>
      </c>
      <c r="C156" s="220" t="s">
        <v>182</v>
      </c>
      <c r="D156" s="113">
        <f t="shared" si="30"/>
        <v>264</v>
      </c>
      <c r="E156" s="113">
        <v>3</v>
      </c>
      <c r="F156" s="113"/>
      <c r="G156" s="113"/>
      <c r="H156" s="72">
        <f t="shared" si="27"/>
        <v>792</v>
      </c>
      <c r="I156" s="68">
        <f t="shared" si="31"/>
        <v>792</v>
      </c>
    </row>
    <row r="157" spans="1:9" x14ac:dyDescent="0.3">
      <c r="A157" s="167">
        <f t="shared" si="24"/>
        <v>1.050311999999999</v>
      </c>
      <c r="B157" s="230" t="s">
        <v>253</v>
      </c>
      <c r="C157" s="220" t="s">
        <v>182</v>
      </c>
      <c r="D157" s="113">
        <f t="shared" si="30"/>
        <v>264</v>
      </c>
      <c r="E157" s="113">
        <v>3</v>
      </c>
      <c r="F157" s="113"/>
      <c r="G157" s="113"/>
      <c r="H157" s="72">
        <f t="shared" si="27"/>
        <v>792</v>
      </c>
      <c r="I157" s="68">
        <f t="shared" si="31"/>
        <v>792</v>
      </c>
    </row>
    <row r="158" spans="1:9" x14ac:dyDescent="0.3">
      <c r="A158" s="167">
        <f t="shared" si="24"/>
        <v>1.0503129999999989</v>
      </c>
      <c r="B158" s="230" t="s">
        <v>254</v>
      </c>
      <c r="C158" s="220" t="s">
        <v>182</v>
      </c>
      <c r="D158" s="113">
        <f t="shared" si="30"/>
        <v>264</v>
      </c>
      <c r="E158" s="113">
        <v>3</v>
      </c>
      <c r="F158" s="113"/>
      <c r="G158" s="113"/>
      <c r="H158" s="72">
        <f t="shared" si="27"/>
        <v>792</v>
      </c>
      <c r="I158" s="68">
        <f t="shared" si="31"/>
        <v>792</v>
      </c>
    </row>
    <row r="159" spans="1:9" x14ac:dyDescent="0.3">
      <c r="A159" s="167">
        <f t="shared" si="24"/>
        <v>1.0503139999999989</v>
      </c>
      <c r="B159" s="230" t="s">
        <v>658</v>
      </c>
      <c r="C159" s="220" t="s">
        <v>173</v>
      </c>
      <c r="D159" s="113">
        <f t="shared" si="30"/>
        <v>264</v>
      </c>
      <c r="E159" s="113"/>
      <c r="F159" s="113"/>
      <c r="G159" s="113"/>
      <c r="H159" s="72">
        <f t="shared" si="27"/>
        <v>264</v>
      </c>
      <c r="I159" s="68">
        <f t="shared" si="31"/>
        <v>264</v>
      </c>
    </row>
    <row r="160" spans="1:9" x14ac:dyDescent="0.3">
      <c r="A160" s="167">
        <f t="shared" si="24"/>
        <v>1.0503149999999988</v>
      </c>
      <c r="B160" s="279" t="s">
        <v>255</v>
      </c>
      <c r="C160" s="220" t="s">
        <v>173</v>
      </c>
      <c r="D160" s="113">
        <f t="shared" si="30"/>
        <v>264</v>
      </c>
      <c r="E160" s="113"/>
      <c r="F160" s="113"/>
      <c r="G160" s="113"/>
      <c r="H160" s="72">
        <f t="shared" si="27"/>
        <v>264</v>
      </c>
      <c r="I160" s="68">
        <f t="shared" si="31"/>
        <v>264</v>
      </c>
    </row>
    <row r="161" spans="1:9" x14ac:dyDescent="0.3">
      <c r="A161" s="167">
        <f t="shared" si="24"/>
        <v>1.0503159999999987</v>
      </c>
      <c r="B161" s="230" t="s">
        <v>256</v>
      </c>
      <c r="C161" s="220" t="s">
        <v>173</v>
      </c>
      <c r="D161" s="113">
        <f t="shared" si="30"/>
        <v>264</v>
      </c>
      <c r="E161" s="113"/>
      <c r="F161" s="113"/>
      <c r="G161" s="113"/>
      <c r="H161" s="72">
        <f t="shared" si="27"/>
        <v>264</v>
      </c>
      <c r="I161" s="68">
        <f t="shared" si="31"/>
        <v>264</v>
      </c>
    </row>
    <row r="162" spans="1:9" ht="15" hidden="1" x14ac:dyDescent="0.25">
      <c r="A162" s="168"/>
      <c r="B162" s="237"/>
      <c r="C162" s="220"/>
      <c r="D162" s="113"/>
      <c r="E162" s="113"/>
      <c r="F162" s="113"/>
      <c r="G162" s="113"/>
      <c r="H162" s="113"/>
      <c r="I162" s="229"/>
    </row>
    <row r="163" spans="1:9" x14ac:dyDescent="0.3">
      <c r="A163" s="210">
        <f>+A72+0.01</f>
        <v>1.06</v>
      </c>
      <c r="B163" s="211" t="s">
        <v>257</v>
      </c>
      <c r="C163" s="212"/>
      <c r="D163" s="213"/>
      <c r="E163" s="213"/>
      <c r="F163" s="213"/>
      <c r="G163" s="213"/>
      <c r="H163" s="213"/>
      <c r="I163" s="68"/>
    </row>
    <row r="164" spans="1:9" x14ac:dyDescent="0.3">
      <c r="A164" s="69">
        <f>+A163+0.0001</f>
        <v>1.0601</v>
      </c>
      <c r="B164" s="70" t="s">
        <v>659</v>
      </c>
      <c r="C164" s="71" t="s">
        <v>182</v>
      </c>
      <c r="D164" s="72">
        <v>1</v>
      </c>
      <c r="E164" s="72">
        <f>'METRADO DE ZANJA Y TUBERIA'!A141</f>
        <v>3152.5600000000004</v>
      </c>
      <c r="F164" s="72"/>
      <c r="G164" s="72"/>
      <c r="H164" s="72">
        <f t="shared" ref="H164:H169" si="32">ROUND(PRODUCT(D164:G164),2)</f>
        <v>3152.56</v>
      </c>
      <c r="I164" s="68">
        <f t="shared" ref="I164:I169" si="33">H164</f>
        <v>3152.56</v>
      </c>
    </row>
    <row r="165" spans="1:9" x14ac:dyDescent="0.3">
      <c r="A165" s="69">
        <f t="shared" ref="A165:A169" si="34">+A164+0.0001</f>
        <v>1.0602</v>
      </c>
      <c r="B165" s="70" t="s">
        <v>660</v>
      </c>
      <c r="C165" s="71" t="s">
        <v>182</v>
      </c>
      <c r="D165" s="72">
        <v>1</v>
      </c>
      <c r="E165" s="72">
        <f>'METRADO DE ZANJA Y TUBERIA'!B141</f>
        <v>375.11999999999995</v>
      </c>
      <c r="F165" s="72"/>
      <c r="G165" s="72"/>
      <c r="H165" s="72">
        <f t="shared" si="32"/>
        <v>375.12</v>
      </c>
      <c r="I165" s="68">
        <f t="shared" si="33"/>
        <v>375.12</v>
      </c>
    </row>
    <row r="166" spans="1:9" x14ac:dyDescent="0.3">
      <c r="A166" s="69">
        <f t="shared" si="34"/>
        <v>1.0603</v>
      </c>
      <c r="B166" s="70" t="s">
        <v>661</v>
      </c>
      <c r="C166" s="71" t="s">
        <v>182</v>
      </c>
      <c r="D166" s="72">
        <v>1</v>
      </c>
      <c r="E166" s="72">
        <f>'METRADO DE ZANJA Y TUBERIA'!C141</f>
        <v>137.45000000000002</v>
      </c>
      <c r="F166" s="72"/>
      <c r="G166" s="72"/>
      <c r="H166" s="72">
        <f t="shared" si="32"/>
        <v>137.44999999999999</v>
      </c>
      <c r="I166" s="68">
        <f t="shared" si="33"/>
        <v>137.44999999999999</v>
      </c>
    </row>
    <row r="167" spans="1:9" x14ac:dyDescent="0.3">
      <c r="A167" s="69">
        <f t="shared" si="34"/>
        <v>1.0604</v>
      </c>
      <c r="B167" s="70" t="s">
        <v>662</v>
      </c>
      <c r="C167" s="71" t="s">
        <v>182</v>
      </c>
      <c r="D167" s="72">
        <v>1</v>
      </c>
      <c r="E167" s="72">
        <f>+E164</f>
        <v>3152.5600000000004</v>
      </c>
      <c r="F167" s="72"/>
      <c r="G167" s="72"/>
      <c r="H167" s="72">
        <f t="shared" si="32"/>
        <v>3152.56</v>
      </c>
      <c r="I167" s="68">
        <f t="shared" si="33"/>
        <v>3152.56</v>
      </c>
    </row>
    <row r="168" spans="1:9" x14ac:dyDescent="0.3">
      <c r="A168" s="69">
        <f t="shared" si="34"/>
        <v>1.0605</v>
      </c>
      <c r="B168" s="70" t="s">
        <v>663</v>
      </c>
      <c r="C168" s="71" t="s">
        <v>182</v>
      </c>
      <c r="D168" s="72">
        <v>1</v>
      </c>
      <c r="E168" s="72">
        <f t="shared" ref="E168:E169" si="35">+E165</f>
        <v>375.11999999999995</v>
      </c>
      <c r="F168" s="72"/>
      <c r="G168" s="72"/>
      <c r="H168" s="72">
        <f t="shared" si="32"/>
        <v>375.12</v>
      </c>
      <c r="I168" s="68">
        <f t="shared" si="33"/>
        <v>375.12</v>
      </c>
    </row>
    <row r="169" spans="1:9" x14ac:dyDescent="0.3">
      <c r="A169" s="69">
        <f t="shared" si="34"/>
        <v>1.0606</v>
      </c>
      <c r="B169" s="70" t="s">
        <v>664</v>
      </c>
      <c r="C169" s="71" t="s">
        <v>182</v>
      </c>
      <c r="D169" s="72">
        <v>1</v>
      </c>
      <c r="E169" s="72">
        <f t="shared" si="35"/>
        <v>137.45000000000002</v>
      </c>
      <c r="F169" s="72"/>
      <c r="G169" s="72"/>
      <c r="H169" s="72">
        <f t="shared" si="32"/>
        <v>137.44999999999999</v>
      </c>
      <c r="I169" s="68">
        <f t="shared" si="33"/>
        <v>137.44999999999999</v>
      </c>
    </row>
    <row r="170" spans="1:9" ht="15" hidden="1" x14ac:dyDescent="0.25">
      <c r="A170" s="215"/>
      <c r="B170" s="70"/>
      <c r="C170" s="71"/>
      <c r="D170" s="72"/>
      <c r="E170" s="72"/>
      <c r="F170" s="72"/>
      <c r="G170" s="72"/>
      <c r="H170" s="72"/>
      <c r="I170" s="68"/>
    </row>
    <row r="171" spans="1:9" x14ac:dyDescent="0.3">
      <c r="A171" s="210">
        <f>+A163+0.01</f>
        <v>1.07</v>
      </c>
      <c r="B171" s="211" t="s">
        <v>258</v>
      </c>
      <c r="C171" s="212"/>
      <c r="D171" s="213"/>
      <c r="E171" s="213"/>
      <c r="F171" s="213"/>
      <c r="G171" s="213"/>
      <c r="H171" s="213"/>
      <c r="I171" s="68"/>
    </row>
    <row r="172" spans="1:9" x14ac:dyDescent="0.3">
      <c r="A172" s="69">
        <f>+A171+0.0001</f>
        <v>1.0701000000000001</v>
      </c>
      <c r="B172" s="70" t="s">
        <v>259</v>
      </c>
      <c r="C172" s="71" t="s">
        <v>182</v>
      </c>
      <c r="D172" s="72">
        <v>1</v>
      </c>
      <c r="E172" s="72">
        <f>+E167</f>
        <v>3152.5600000000004</v>
      </c>
      <c r="F172" s="72"/>
      <c r="G172" s="72"/>
      <c r="H172" s="72">
        <f>D172*E172</f>
        <v>3152.5600000000004</v>
      </c>
      <c r="I172" s="68">
        <f>H172</f>
        <v>3152.5600000000004</v>
      </c>
    </row>
    <row r="173" spans="1:9" x14ac:dyDescent="0.3">
      <c r="A173" s="69">
        <f t="shared" ref="A173:A175" si="36">+A172+0.0001</f>
        <v>1.0702</v>
      </c>
      <c r="B173" s="70" t="s">
        <v>260</v>
      </c>
      <c r="C173" s="71" t="s">
        <v>182</v>
      </c>
      <c r="D173" s="72">
        <v>1</v>
      </c>
      <c r="E173" s="72">
        <f>+E168</f>
        <v>375.11999999999995</v>
      </c>
      <c r="F173" s="72"/>
      <c r="G173" s="72"/>
      <c r="H173" s="72">
        <f t="shared" ref="H173:H174" si="37">D173*E173</f>
        <v>375.11999999999995</v>
      </c>
      <c r="I173" s="68">
        <f t="shared" ref="I173:I174" si="38">H173</f>
        <v>375.11999999999995</v>
      </c>
    </row>
    <row r="174" spans="1:9" x14ac:dyDescent="0.3">
      <c r="A174" s="69">
        <f t="shared" si="36"/>
        <v>1.0703</v>
      </c>
      <c r="B174" s="70" t="s">
        <v>261</v>
      </c>
      <c r="C174" s="71" t="s">
        <v>182</v>
      </c>
      <c r="D174" s="72">
        <v>1</v>
      </c>
      <c r="E174" s="72">
        <f>+E169</f>
        <v>137.45000000000002</v>
      </c>
      <c r="F174" s="72"/>
      <c r="G174" s="72"/>
      <c r="H174" s="72">
        <f t="shared" si="37"/>
        <v>137.45000000000002</v>
      </c>
      <c r="I174" s="68">
        <f t="shared" si="38"/>
        <v>137.45000000000002</v>
      </c>
    </row>
    <row r="175" spans="1:9" x14ac:dyDescent="0.3">
      <c r="A175" s="69">
        <f t="shared" si="36"/>
        <v>1.0704</v>
      </c>
      <c r="B175" s="70" t="s">
        <v>262</v>
      </c>
      <c r="C175" s="71" t="s">
        <v>173</v>
      </c>
      <c r="D175" s="72"/>
      <c r="E175" s="72"/>
      <c r="F175" s="72"/>
      <c r="G175" s="72"/>
      <c r="H175" s="72"/>
      <c r="I175" s="68">
        <f>SUM(H176:H182)</f>
        <v>162</v>
      </c>
    </row>
    <row r="176" spans="1:9" ht="15" hidden="1" x14ac:dyDescent="0.25">
      <c r="A176" s="69"/>
      <c r="B176" s="164" t="s">
        <v>263</v>
      </c>
      <c r="C176" s="71"/>
      <c r="D176" s="72">
        <f>SUM(D188:D198)</f>
        <v>89</v>
      </c>
      <c r="E176" s="72" t="s">
        <v>264</v>
      </c>
      <c r="F176" s="72">
        <v>3</v>
      </c>
      <c r="G176" s="72"/>
      <c r="H176" s="72">
        <f>ROUND(+D176/F176,0)</f>
        <v>30</v>
      </c>
      <c r="I176" s="68"/>
    </row>
    <row r="177" spans="1:9" ht="15" hidden="1" x14ac:dyDescent="0.25">
      <c r="A177" s="69"/>
      <c r="B177" s="163" t="s">
        <v>265</v>
      </c>
      <c r="C177" s="71"/>
      <c r="D177" s="72"/>
      <c r="E177" s="72"/>
      <c r="F177" s="72"/>
      <c r="G177" s="72"/>
      <c r="H177" s="72"/>
      <c r="I177" s="68"/>
    </row>
    <row r="178" spans="1:9" ht="15" hidden="1" x14ac:dyDescent="0.25">
      <c r="A178" s="69"/>
      <c r="B178" s="164" t="s">
        <v>347</v>
      </c>
      <c r="C178" s="71"/>
      <c r="D178" s="72">
        <f>I50</f>
        <v>2183.5300000000002</v>
      </c>
      <c r="E178" s="72" t="s">
        <v>264</v>
      </c>
      <c r="F178" s="72">
        <v>40</v>
      </c>
      <c r="G178" s="72"/>
      <c r="H178" s="72">
        <f>ROUND(+D178/F178,0)</f>
        <v>55</v>
      </c>
      <c r="I178" s="68"/>
    </row>
    <row r="179" spans="1:9" ht="15" hidden="1" x14ac:dyDescent="0.25">
      <c r="A179" s="69"/>
      <c r="B179" s="164" t="s">
        <v>266</v>
      </c>
      <c r="C179" s="71"/>
      <c r="D179" s="72">
        <f>I51</f>
        <v>2127.84</v>
      </c>
      <c r="E179" s="72" t="s">
        <v>264</v>
      </c>
      <c r="F179" s="72">
        <v>60</v>
      </c>
      <c r="G179" s="72"/>
      <c r="H179" s="72">
        <f t="shared" ref="H179" si="39">ROUND(+D179/F179,0)</f>
        <v>35</v>
      </c>
      <c r="I179" s="68"/>
    </row>
    <row r="180" spans="1:9" ht="15" hidden="1" x14ac:dyDescent="0.25">
      <c r="A180" s="69"/>
      <c r="B180" s="163" t="s">
        <v>267</v>
      </c>
      <c r="C180" s="71"/>
      <c r="D180" s="72"/>
      <c r="E180" s="72"/>
      <c r="F180" s="72"/>
      <c r="G180" s="72"/>
      <c r="H180" s="72"/>
      <c r="I180" s="68"/>
    </row>
    <row r="181" spans="1:9" ht="15" hidden="1" x14ac:dyDescent="0.25">
      <c r="A181" s="69"/>
      <c r="B181" s="164" t="s">
        <v>347</v>
      </c>
      <c r="C181" s="71"/>
      <c r="D181" s="72">
        <f>I221</f>
        <v>1430.71</v>
      </c>
      <c r="E181" s="72" t="s">
        <v>264</v>
      </c>
      <c r="F181" s="72">
        <v>40</v>
      </c>
      <c r="G181" s="72"/>
      <c r="H181" s="72">
        <f>ROUND(+D181/F181,0)</f>
        <v>36</v>
      </c>
      <c r="I181" s="68"/>
    </row>
    <row r="182" spans="1:9" ht="15" hidden="1" x14ac:dyDescent="0.25">
      <c r="A182" s="69"/>
      <c r="B182" s="164" t="s">
        <v>266</v>
      </c>
      <c r="C182" s="71"/>
      <c r="D182" s="72">
        <f>I222</f>
        <v>388</v>
      </c>
      <c r="E182" s="72" t="s">
        <v>264</v>
      </c>
      <c r="F182" s="72">
        <v>60</v>
      </c>
      <c r="G182" s="72"/>
      <c r="H182" s="72">
        <f>ROUND(+D182/F182,0)</f>
        <v>6</v>
      </c>
      <c r="I182" s="68"/>
    </row>
    <row r="183" spans="1:9" ht="15" hidden="1" x14ac:dyDescent="0.25">
      <c r="A183" s="215"/>
      <c r="B183" s="238"/>
      <c r="C183" s="71"/>
      <c r="D183" s="72"/>
      <c r="E183" s="72"/>
      <c r="F183" s="72"/>
      <c r="G183" s="72"/>
      <c r="H183" s="72"/>
      <c r="I183" s="68"/>
    </row>
    <row r="184" spans="1:9" x14ac:dyDescent="0.3">
      <c r="A184" s="69">
        <f>+A175+0.0001</f>
        <v>1.0705</v>
      </c>
      <c r="B184" s="70" t="s">
        <v>268</v>
      </c>
      <c r="C184" s="71" t="s">
        <v>173</v>
      </c>
      <c r="D184" s="72"/>
      <c r="E184" s="72"/>
      <c r="F184" s="72"/>
      <c r="G184" s="72"/>
      <c r="H184" s="72"/>
      <c r="I184" s="68">
        <f>+H185</f>
        <v>73</v>
      </c>
    </row>
    <row r="185" spans="1:9" ht="15" hidden="1" x14ac:dyDescent="0.25">
      <c r="A185" s="215"/>
      <c r="B185" s="238" t="s">
        <v>269</v>
      </c>
      <c r="C185" s="71"/>
      <c r="D185" s="72">
        <f>ROUND((E172+E173+E174)/50,0)</f>
        <v>73</v>
      </c>
      <c r="E185" s="72"/>
      <c r="F185" s="72"/>
      <c r="G185" s="72"/>
      <c r="H185" s="72">
        <f>+D185</f>
        <v>73</v>
      </c>
      <c r="I185" s="68"/>
    </row>
    <row r="186" spans="1:9" ht="15" hidden="1" x14ac:dyDescent="0.25">
      <c r="A186" s="215"/>
      <c r="B186" s="238"/>
      <c r="C186" s="71"/>
      <c r="D186" s="72"/>
      <c r="E186" s="72"/>
      <c r="F186" s="72"/>
      <c r="G186" s="72"/>
      <c r="H186" s="72"/>
      <c r="I186" s="68"/>
    </row>
    <row r="187" spans="1:9" x14ac:dyDescent="0.3">
      <c r="A187" s="210">
        <f>+A171+0.01</f>
        <v>1.08</v>
      </c>
      <c r="B187" s="211" t="s">
        <v>196</v>
      </c>
      <c r="C187" s="212"/>
      <c r="D187" s="213"/>
      <c r="E187" s="213"/>
      <c r="F187" s="213"/>
      <c r="G187" s="213"/>
      <c r="H187" s="213"/>
      <c r="I187" s="68"/>
    </row>
    <row r="188" spans="1:9" x14ac:dyDescent="0.3">
      <c r="A188" s="69">
        <f>+A187+0.0001</f>
        <v>1.0801000000000001</v>
      </c>
      <c r="B188" s="70" t="s">
        <v>665</v>
      </c>
      <c r="C188" s="71" t="s">
        <v>173</v>
      </c>
      <c r="D188" s="72">
        <f>'METRADO DE BUZONES'!G114</f>
        <v>14</v>
      </c>
      <c r="E188" s="72"/>
      <c r="F188" s="72"/>
      <c r="G188" s="72"/>
      <c r="H188" s="72">
        <f t="shared" ref="H188:H202" si="40">D188</f>
        <v>14</v>
      </c>
      <c r="I188" s="68">
        <f t="shared" ref="I188:I202" si="41">H188</f>
        <v>14</v>
      </c>
    </row>
    <row r="189" spans="1:9" x14ac:dyDescent="0.3">
      <c r="A189" s="69">
        <f t="shared" ref="A189:A202" si="42">+A188+0.0001</f>
        <v>1.0802</v>
      </c>
      <c r="B189" s="70" t="s">
        <v>666</v>
      </c>
      <c r="C189" s="71" t="s">
        <v>173</v>
      </c>
      <c r="D189" s="72">
        <f>'METRADO DE BUZONES'!G115</f>
        <v>13</v>
      </c>
      <c r="E189" s="72"/>
      <c r="F189" s="72"/>
      <c r="G189" s="72"/>
      <c r="H189" s="72">
        <f t="shared" si="40"/>
        <v>13</v>
      </c>
      <c r="I189" s="68">
        <f t="shared" si="41"/>
        <v>13</v>
      </c>
    </row>
    <row r="190" spans="1:9" x14ac:dyDescent="0.3">
      <c r="A190" s="69">
        <f t="shared" si="42"/>
        <v>1.0803</v>
      </c>
      <c r="B190" s="70" t="s">
        <v>667</v>
      </c>
      <c r="C190" s="71" t="s">
        <v>173</v>
      </c>
      <c r="D190" s="72">
        <f>'METRADO DE BUZONES'!G116</f>
        <v>15</v>
      </c>
      <c r="E190" s="72"/>
      <c r="F190" s="72"/>
      <c r="G190" s="72"/>
      <c r="H190" s="72">
        <f t="shared" si="40"/>
        <v>15</v>
      </c>
      <c r="I190" s="68">
        <f t="shared" si="41"/>
        <v>15</v>
      </c>
    </row>
    <row r="191" spans="1:9" x14ac:dyDescent="0.3">
      <c r="A191" s="69">
        <f t="shared" si="42"/>
        <v>1.0804</v>
      </c>
      <c r="B191" s="70" t="s">
        <v>668</v>
      </c>
      <c r="C191" s="71" t="s">
        <v>173</v>
      </c>
      <c r="D191" s="72">
        <f>'METRADO DE BUZONES'!G117</f>
        <v>17</v>
      </c>
      <c r="E191" s="72"/>
      <c r="F191" s="72"/>
      <c r="G191" s="72"/>
      <c r="H191" s="72">
        <f t="shared" si="40"/>
        <v>17</v>
      </c>
      <c r="I191" s="68">
        <f t="shared" si="41"/>
        <v>17</v>
      </c>
    </row>
    <row r="192" spans="1:9" x14ac:dyDescent="0.3">
      <c r="A192" s="69">
        <f t="shared" si="42"/>
        <v>1.0805</v>
      </c>
      <c r="B192" s="70" t="s">
        <v>669</v>
      </c>
      <c r="C192" s="71" t="s">
        <v>173</v>
      </c>
      <c r="D192" s="72">
        <f>'METRADO DE BUZONES'!G118</f>
        <v>14</v>
      </c>
      <c r="E192" s="72"/>
      <c r="F192" s="72"/>
      <c r="G192" s="72"/>
      <c r="H192" s="72">
        <f t="shared" si="40"/>
        <v>14</v>
      </c>
      <c r="I192" s="68">
        <f t="shared" si="41"/>
        <v>14</v>
      </c>
    </row>
    <row r="193" spans="1:9" x14ac:dyDescent="0.3">
      <c r="A193" s="69">
        <f t="shared" si="42"/>
        <v>1.0806</v>
      </c>
      <c r="B193" s="70" t="s">
        <v>670</v>
      </c>
      <c r="C193" s="71" t="s">
        <v>173</v>
      </c>
      <c r="D193" s="72">
        <f>'METRADO DE BUZONES'!G119</f>
        <v>4</v>
      </c>
      <c r="E193" s="72"/>
      <c r="F193" s="72"/>
      <c r="G193" s="72"/>
      <c r="H193" s="72">
        <f t="shared" si="40"/>
        <v>4</v>
      </c>
      <c r="I193" s="68">
        <f t="shared" si="41"/>
        <v>4</v>
      </c>
    </row>
    <row r="194" spans="1:9" x14ac:dyDescent="0.3">
      <c r="A194" s="69">
        <f t="shared" si="42"/>
        <v>1.0807</v>
      </c>
      <c r="B194" s="70" t="s">
        <v>270</v>
      </c>
      <c r="C194" s="71" t="s">
        <v>173</v>
      </c>
      <c r="D194" s="72">
        <f>'METRADO DE BUZONES'!J114</f>
        <v>5</v>
      </c>
      <c r="E194" s="72"/>
      <c r="F194" s="72"/>
      <c r="G194" s="72"/>
      <c r="H194" s="72">
        <f t="shared" si="40"/>
        <v>5</v>
      </c>
      <c r="I194" s="68">
        <f t="shared" si="41"/>
        <v>5</v>
      </c>
    </row>
    <row r="195" spans="1:9" x14ac:dyDescent="0.3">
      <c r="A195" s="69">
        <f t="shared" si="42"/>
        <v>1.0808</v>
      </c>
      <c r="B195" s="70" t="s">
        <v>271</v>
      </c>
      <c r="C195" s="71" t="s">
        <v>173</v>
      </c>
      <c r="D195" s="72">
        <f>'METRADO DE BUZONES'!J115</f>
        <v>3</v>
      </c>
      <c r="E195" s="72"/>
      <c r="F195" s="72"/>
      <c r="G195" s="72"/>
      <c r="H195" s="72">
        <f t="shared" si="40"/>
        <v>3</v>
      </c>
      <c r="I195" s="68">
        <f t="shared" si="41"/>
        <v>3</v>
      </c>
    </row>
    <row r="196" spans="1:9" x14ac:dyDescent="0.3">
      <c r="A196" s="69">
        <f t="shared" si="42"/>
        <v>1.0809</v>
      </c>
      <c r="B196" s="70" t="s">
        <v>272</v>
      </c>
      <c r="C196" s="71" t="s">
        <v>173</v>
      </c>
      <c r="D196" s="72">
        <f>'METRADO DE BUZONES'!J116</f>
        <v>1</v>
      </c>
      <c r="E196" s="72"/>
      <c r="F196" s="72"/>
      <c r="G196" s="72"/>
      <c r="H196" s="72">
        <f t="shared" si="40"/>
        <v>1</v>
      </c>
      <c r="I196" s="68">
        <f t="shared" si="41"/>
        <v>1</v>
      </c>
    </row>
    <row r="197" spans="1:9" x14ac:dyDescent="0.3">
      <c r="A197" s="69">
        <f t="shared" si="42"/>
        <v>1.081</v>
      </c>
      <c r="B197" s="70" t="s">
        <v>273</v>
      </c>
      <c r="C197" s="71" t="s">
        <v>173</v>
      </c>
      <c r="D197" s="72">
        <f>'METRADO DE BUZONES'!J117</f>
        <v>2</v>
      </c>
      <c r="E197" s="72"/>
      <c r="F197" s="72"/>
      <c r="G197" s="72"/>
      <c r="H197" s="72">
        <f t="shared" si="40"/>
        <v>2</v>
      </c>
      <c r="I197" s="68">
        <f t="shared" si="41"/>
        <v>2</v>
      </c>
    </row>
    <row r="198" spans="1:9" x14ac:dyDescent="0.3">
      <c r="A198" s="69">
        <f t="shared" si="42"/>
        <v>1.0810999999999999</v>
      </c>
      <c r="B198" s="70" t="s">
        <v>274</v>
      </c>
      <c r="C198" s="71" t="s">
        <v>173</v>
      </c>
      <c r="D198" s="72">
        <f>'METRADO DE BUZONES'!J118</f>
        <v>1</v>
      </c>
      <c r="E198" s="72"/>
      <c r="F198" s="72"/>
      <c r="G198" s="72"/>
      <c r="H198" s="72">
        <f t="shared" si="40"/>
        <v>1</v>
      </c>
      <c r="I198" s="68">
        <f t="shared" si="41"/>
        <v>1</v>
      </c>
    </row>
    <row r="199" spans="1:9" x14ac:dyDescent="0.3">
      <c r="A199" s="69">
        <f t="shared" si="42"/>
        <v>1.0811999999999999</v>
      </c>
      <c r="B199" s="70" t="s">
        <v>275</v>
      </c>
      <c r="C199" s="71" t="s">
        <v>173</v>
      </c>
      <c r="D199" s="72">
        <f>'METRADO DE ZANJA Y TUBERIA'!C144</f>
        <v>9</v>
      </c>
      <c r="E199" s="72"/>
      <c r="F199" s="72"/>
      <c r="G199" s="72"/>
      <c r="H199" s="72">
        <f t="shared" si="40"/>
        <v>9</v>
      </c>
      <c r="I199" s="68">
        <f t="shared" si="41"/>
        <v>9</v>
      </c>
    </row>
    <row r="200" spans="1:9" x14ac:dyDescent="0.3">
      <c r="A200" s="69">
        <f t="shared" si="42"/>
        <v>1.0812999999999999</v>
      </c>
      <c r="B200" s="70" t="s">
        <v>349</v>
      </c>
      <c r="C200" s="71" t="s">
        <v>173</v>
      </c>
      <c r="D200" s="72">
        <f>'METRADO DE ZANJA Y TUBERIA'!C145</f>
        <v>1</v>
      </c>
      <c r="E200" s="72"/>
      <c r="F200" s="72"/>
      <c r="G200" s="72"/>
      <c r="H200" s="72">
        <f t="shared" si="40"/>
        <v>1</v>
      </c>
      <c r="I200" s="68">
        <f t="shared" si="41"/>
        <v>1</v>
      </c>
    </row>
    <row r="201" spans="1:9" x14ac:dyDescent="0.3">
      <c r="A201" s="69">
        <f t="shared" si="42"/>
        <v>1.0813999999999999</v>
      </c>
      <c r="B201" s="70" t="s">
        <v>276</v>
      </c>
      <c r="C201" s="71" t="s">
        <v>173</v>
      </c>
      <c r="D201" s="72">
        <f>'METRADO DE ZANJA Y TUBERIA'!A149</f>
        <v>150</v>
      </c>
      <c r="E201" s="72"/>
      <c r="F201" s="72"/>
      <c r="G201" s="72"/>
      <c r="H201" s="72">
        <f t="shared" si="40"/>
        <v>150</v>
      </c>
      <c r="I201" s="68">
        <f t="shared" si="41"/>
        <v>150</v>
      </c>
    </row>
    <row r="202" spans="1:9" x14ac:dyDescent="0.3">
      <c r="A202" s="69">
        <f t="shared" si="42"/>
        <v>1.0814999999999999</v>
      </c>
      <c r="B202" s="70" t="s">
        <v>277</v>
      </c>
      <c r="C202" s="71" t="s">
        <v>173</v>
      </c>
      <c r="D202" s="72">
        <f>'METRADO DE ZANJA Y TUBERIA'!B149</f>
        <v>20</v>
      </c>
      <c r="E202" s="72"/>
      <c r="F202" s="72"/>
      <c r="G202" s="72"/>
      <c r="H202" s="72">
        <f t="shared" si="40"/>
        <v>20</v>
      </c>
      <c r="I202" s="68">
        <f t="shared" si="41"/>
        <v>20</v>
      </c>
    </row>
    <row r="203" spans="1:9" ht="15" hidden="1" x14ac:dyDescent="0.25">
      <c r="A203" s="215"/>
      <c r="B203" s="70"/>
      <c r="C203" s="71"/>
      <c r="D203" s="72"/>
      <c r="E203" s="72"/>
      <c r="F203" s="72"/>
      <c r="G203" s="72"/>
      <c r="H203" s="72"/>
      <c r="I203" s="68"/>
    </row>
    <row r="204" spans="1:9" x14ac:dyDescent="0.3">
      <c r="A204" s="205">
        <f>+A7+1</f>
        <v>2</v>
      </c>
      <c r="B204" s="239" t="s">
        <v>278</v>
      </c>
      <c r="C204" s="212"/>
      <c r="D204" s="213"/>
      <c r="E204" s="213"/>
      <c r="F204" s="213"/>
      <c r="G204" s="213"/>
      <c r="H204" s="213"/>
      <c r="I204" s="68"/>
    </row>
    <row r="205" spans="1:9" x14ac:dyDescent="0.3">
      <c r="A205" s="210">
        <f>+A204+0.01</f>
        <v>2.0099999999999998</v>
      </c>
      <c r="B205" s="211" t="s">
        <v>671</v>
      </c>
      <c r="C205" s="212"/>
      <c r="D205" s="213"/>
      <c r="E205" s="213"/>
      <c r="F205" s="213"/>
      <c r="G205" s="213"/>
      <c r="H205" s="213"/>
      <c r="I205" s="68"/>
    </row>
    <row r="206" spans="1:9" x14ac:dyDescent="0.3">
      <c r="A206" s="69">
        <f>+A205+0.0001</f>
        <v>2.0101</v>
      </c>
      <c r="B206" s="70" t="s">
        <v>279</v>
      </c>
      <c r="C206" s="71" t="s">
        <v>173</v>
      </c>
      <c r="D206" s="72">
        <f>'CUADRO DE CONEX DOMICILIARIAS'!H498</f>
        <v>485</v>
      </c>
      <c r="E206" s="72"/>
      <c r="F206" s="72"/>
      <c r="G206" s="72"/>
      <c r="H206" s="72">
        <f t="shared" ref="H206:H209" si="43">ROUND(PRODUCT(D206:G206),2)</f>
        <v>485</v>
      </c>
      <c r="I206" s="68">
        <f t="shared" ref="I206:I209" si="44">H206</f>
        <v>485</v>
      </c>
    </row>
    <row r="207" spans="1:9" x14ac:dyDescent="0.3">
      <c r="A207" s="69">
        <f t="shared" ref="A207:A210" si="45">+A206+0.0001</f>
        <v>2.0102000000000002</v>
      </c>
      <c r="B207" s="70" t="s">
        <v>280</v>
      </c>
      <c r="C207" s="71" t="s">
        <v>173</v>
      </c>
      <c r="D207" s="72">
        <f>+D206</f>
        <v>485</v>
      </c>
      <c r="E207" s="72"/>
      <c r="F207" s="72"/>
      <c r="G207" s="72"/>
      <c r="H207" s="72">
        <f t="shared" si="43"/>
        <v>485</v>
      </c>
      <c r="I207" s="68">
        <f t="shared" si="44"/>
        <v>485</v>
      </c>
    </row>
    <row r="208" spans="1:9" x14ac:dyDescent="0.3">
      <c r="A208" s="69">
        <f t="shared" si="45"/>
        <v>2.0103000000000004</v>
      </c>
      <c r="B208" s="70" t="s">
        <v>687</v>
      </c>
      <c r="C208" s="71" t="s">
        <v>173</v>
      </c>
      <c r="D208" s="72">
        <f>'MET. DE INTERFERENCIAS'!C173</f>
        <v>561</v>
      </c>
      <c r="E208" s="72"/>
      <c r="F208" s="72"/>
      <c r="G208" s="72"/>
      <c r="H208" s="72">
        <f t="shared" si="43"/>
        <v>561</v>
      </c>
      <c r="I208" s="68">
        <f t="shared" si="44"/>
        <v>561</v>
      </c>
    </row>
    <row r="209" spans="1:9" x14ac:dyDescent="0.3">
      <c r="A209" s="69">
        <f t="shared" si="45"/>
        <v>2.0104000000000006</v>
      </c>
      <c r="B209" s="70" t="s">
        <v>186</v>
      </c>
      <c r="C209" s="71" t="s">
        <v>182</v>
      </c>
      <c r="D209" s="72">
        <v>2</v>
      </c>
      <c r="E209" s="72">
        <f>'CUADRO DE CONEX DOMICILIARIAS'!H510</f>
        <v>1818.7100000000019</v>
      </c>
      <c r="F209" s="72"/>
      <c r="G209" s="72"/>
      <c r="H209" s="72">
        <f t="shared" si="43"/>
        <v>3637.42</v>
      </c>
      <c r="I209" s="68">
        <f t="shared" si="44"/>
        <v>3637.42</v>
      </c>
    </row>
    <row r="210" spans="1:9" x14ac:dyDescent="0.3">
      <c r="A210" s="69">
        <f t="shared" si="45"/>
        <v>2.0105000000000008</v>
      </c>
      <c r="B210" s="70" t="s">
        <v>181</v>
      </c>
      <c r="C210" s="71" t="s">
        <v>182</v>
      </c>
      <c r="D210" s="72">
        <v>1</v>
      </c>
      <c r="E210" s="72">
        <f>+E209</f>
        <v>1818.7100000000019</v>
      </c>
      <c r="F210" s="72"/>
      <c r="G210" s="72"/>
      <c r="H210" s="72">
        <f>ROUND(PRODUCT(D210:G210),2)</f>
        <v>1818.71</v>
      </c>
      <c r="I210" s="68">
        <f>H210</f>
        <v>1818.71</v>
      </c>
    </row>
    <row r="211" spans="1:9" ht="15" hidden="1" x14ac:dyDescent="0.25">
      <c r="A211" s="215"/>
      <c r="B211" s="70"/>
      <c r="C211" s="71"/>
      <c r="D211" s="72"/>
      <c r="E211" s="72"/>
      <c r="F211" s="72"/>
      <c r="G211" s="72"/>
      <c r="H211" s="72"/>
      <c r="I211" s="68"/>
    </row>
    <row r="212" spans="1:9" x14ac:dyDescent="0.3">
      <c r="A212" s="210">
        <f>+A205+0.01</f>
        <v>2.0199999999999996</v>
      </c>
      <c r="B212" s="211" t="s">
        <v>191</v>
      </c>
      <c r="C212" s="212"/>
      <c r="D212" s="213"/>
      <c r="E212" s="72"/>
      <c r="F212" s="213"/>
      <c r="G212" s="213"/>
      <c r="H212" s="213"/>
      <c r="I212" s="68"/>
    </row>
    <row r="213" spans="1:9" x14ac:dyDescent="0.3">
      <c r="A213" s="69">
        <f>+A212+0.0001</f>
        <v>2.0200999999999998</v>
      </c>
      <c r="B213" s="70" t="s">
        <v>281</v>
      </c>
      <c r="C213" s="71" t="s">
        <v>173</v>
      </c>
      <c r="D213" s="72">
        <f>'CUADRO DE CONEX DOMICILIARIAS'!J519</f>
        <v>27</v>
      </c>
      <c r="E213" s="72"/>
      <c r="F213" s="72"/>
      <c r="G213" s="72"/>
      <c r="H213" s="72">
        <f t="shared" ref="H213" si="46">ROUND(PRODUCT(D213:G213),2)</f>
        <v>27</v>
      </c>
      <c r="I213" s="68">
        <f t="shared" ref="I213:I253" si="47">H213</f>
        <v>27</v>
      </c>
    </row>
    <row r="214" spans="1:9" x14ac:dyDescent="0.3">
      <c r="A214" s="69">
        <f>+A213+0.0001</f>
        <v>2.0202</v>
      </c>
      <c r="B214" s="70" t="s">
        <v>655</v>
      </c>
      <c r="C214" s="71" t="s">
        <v>197</v>
      </c>
      <c r="D214" s="72"/>
      <c r="E214" s="72"/>
      <c r="F214" s="72"/>
      <c r="G214" s="72"/>
      <c r="H214" s="72"/>
      <c r="I214" s="68">
        <f>SUM(H215:H218)</f>
        <v>4.8599999999999994</v>
      </c>
    </row>
    <row r="215" spans="1:9" ht="15" hidden="1" x14ac:dyDescent="0.25">
      <c r="A215" s="69"/>
      <c r="B215" s="240" t="s">
        <v>282</v>
      </c>
      <c r="C215" s="71"/>
      <c r="D215" s="72">
        <f>+D213</f>
        <v>27</v>
      </c>
      <c r="E215" s="72">
        <v>0.6</v>
      </c>
      <c r="F215" s="72">
        <v>0.3</v>
      </c>
      <c r="G215" s="72">
        <v>0.05</v>
      </c>
      <c r="H215" s="72">
        <f t="shared" ref="H215:H223" si="48">ROUND(PRODUCT(D215:G215),2)</f>
        <v>0.24</v>
      </c>
      <c r="I215" s="68"/>
    </row>
    <row r="216" spans="1:9" ht="15" hidden="1" x14ac:dyDescent="0.25">
      <c r="A216" s="69"/>
      <c r="B216" s="240" t="s">
        <v>283</v>
      </c>
      <c r="C216" s="71"/>
      <c r="D216" s="72">
        <f>+D215</f>
        <v>27</v>
      </c>
      <c r="E216" s="72">
        <v>0.6</v>
      </c>
      <c r="F216" s="72">
        <v>0.3</v>
      </c>
      <c r="G216" s="72">
        <v>0.15</v>
      </c>
      <c r="H216" s="72">
        <f t="shared" si="48"/>
        <v>0.73</v>
      </c>
      <c r="I216" s="68"/>
    </row>
    <row r="217" spans="1:9" ht="15" hidden="1" x14ac:dyDescent="0.25">
      <c r="A217" s="69"/>
      <c r="B217" s="240" t="s">
        <v>242</v>
      </c>
      <c r="C217" s="71">
        <v>2</v>
      </c>
      <c r="D217" s="72">
        <f>'CUADRO DE CONEX DOMICILIARIAS'!J513</f>
        <v>27</v>
      </c>
      <c r="E217" s="72">
        <v>0.6</v>
      </c>
      <c r="F217" s="72">
        <v>0.1</v>
      </c>
      <c r="G217" s="72">
        <v>0.8</v>
      </c>
      <c r="H217" s="72">
        <f>ROUND(PRODUCT(C217:G217),2)</f>
        <v>2.59</v>
      </c>
      <c r="I217" s="68"/>
    </row>
    <row r="218" spans="1:9" ht="15" hidden="1" x14ac:dyDescent="0.25">
      <c r="A218" s="69"/>
      <c r="B218" s="240"/>
      <c r="C218" s="71">
        <v>2</v>
      </c>
      <c r="D218" s="72">
        <f>+D217</f>
        <v>27</v>
      </c>
      <c r="E218" s="72">
        <v>0.3</v>
      </c>
      <c r="F218" s="72">
        <v>0.1</v>
      </c>
      <c r="G218" s="72">
        <f>+G217</f>
        <v>0.8</v>
      </c>
      <c r="H218" s="72">
        <f>ROUND(PRODUCT(C218:G218),2)</f>
        <v>1.3</v>
      </c>
      <c r="I218" s="68"/>
    </row>
    <row r="219" spans="1:9" ht="15" hidden="1" x14ac:dyDescent="0.25">
      <c r="A219" s="69"/>
      <c r="B219" s="70"/>
      <c r="C219" s="71"/>
      <c r="D219" s="72"/>
      <c r="E219" s="72"/>
      <c r="F219" s="72"/>
      <c r="G219" s="72"/>
      <c r="H219" s="72"/>
      <c r="I219" s="68"/>
    </row>
    <row r="220" spans="1:9" x14ac:dyDescent="0.3">
      <c r="A220" s="69">
        <f>+A214+0.0001</f>
        <v>2.0203000000000002</v>
      </c>
      <c r="B220" s="70" t="s">
        <v>672</v>
      </c>
      <c r="C220" s="71" t="s">
        <v>182</v>
      </c>
      <c r="D220" s="72">
        <v>1</v>
      </c>
      <c r="E220" s="72">
        <f>+I210</f>
        <v>1818.71</v>
      </c>
      <c r="F220" s="72"/>
      <c r="G220" s="72"/>
      <c r="H220" s="72">
        <f t="shared" si="48"/>
        <v>1818.71</v>
      </c>
      <c r="I220" s="68">
        <f t="shared" si="47"/>
        <v>1818.71</v>
      </c>
    </row>
    <row r="221" spans="1:9" x14ac:dyDescent="0.3">
      <c r="A221" s="69">
        <f>+A220+0.0001</f>
        <v>2.0204000000000004</v>
      </c>
      <c r="B221" s="70" t="s">
        <v>647</v>
      </c>
      <c r="C221" s="71" t="s">
        <v>193</v>
      </c>
      <c r="D221" s="72">
        <v>1</v>
      </c>
      <c r="E221" s="72">
        <f>'CUADRO DE CONEX DOMICILIARIAS'!J505</f>
        <v>1430.7100000000012</v>
      </c>
      <c r="F221" s="72">
        <v>1</v>
      </c>
      <c r="G221" s="72"/>
      <c r="H221" s="72">
        <f t="shared" si="48"/>
        <v>1430.71</v>
      </c>
      <c r="I221" s="68">
        <f t="shared" si="47"/>
        <v>1430.71</v>
      </c>
    </row>
    <row r="222" spans="1:9" x14ac:dyDescent="0.3">
      <c r="A222" s="69">
        <f t="shared" ref="A222:A223" si="49">+A221+0.0001</f>
        <v>2.0205000000000006</v>
      </c>
      <c r="B222" s="70" t="s">
        <v>673</v>
      </c>
      <c r="C222" s="71" t="s">
        <v>193</v>
      </c>
      <c r="D222" s="72">
        <v>1</v>
      </c>
      <c r="E222" s="72">
        <f>'CUADRO DE CONEX DOMICILIARIAS'!J506</f>
        <v>388</v>
      </c>
      <c r="F222" s="72">
        <v>1</v>
      </c>
      <c r="G222" s="72"/>
      <c r="H222" s="72">
        <f t="shared" si="48"/>
        <v>388</v>
      </c>
      <c r="I222" s="68">
        <f t="shared" si="47"/>
        <v>388</v>
      </c>
    </row>
    <row r="223" spans="1:9" x14ac:dyDescent="0.3">
      <c r="A223" s="69">
        <f t="shared" si="49"/>
        <v>2.0206000000000008</v>
      </c>
      <c r="B223" s="70" t="s">
        <v>674</v>
      </c>
      <c r="C223" s="71" t="s">
        <v>193</v>
      </c>
      <c r="D223" s="72">
        <f>+D213</f>
        <v>27</v>
      </c>
      <c r="E223" s="72">
        <v>1.25</v>
      </c>
      <c r="F223" s="72">
        <v>0.99831000000000003</v>
      </c>
      <c r="G223" s="72"/>
      <c r="H223" s="72">
        <f t="shared" si="48"/>
        <v>33.69</v>
      </c>
      <c r="I223" s="68">
        <f t="shared" si="47"/>
        <v>33.69</v>
      </c>
    </row>
    <row r="224" spans="1:9" ht="15" hidden="1" x14ac:dyDescent="0.25">
      <c r="A224" s="215"/>
      <c r="B224" s="217"/>
      <c r="C224" s="71"/>
      <c r="D224" s="72"/>
      <c r="E224" s="72"/>
      <c r="F224" s="72"/>
      <c r="G224" s="72"/>
      <c r="H224" s="72"/>
      <c r="I224" s="68"/>
    </row>
    <row r="225" spans="1:9" x14ac:dyDescent="0.3">
      <c r="A225" s="210">
        <f>+A212+0.01</f>
        <v>2.0299999999999994</v>
      </c>
      <c r="B225" s="211" t="s">
        <v>202</v>
      </c>
      <c r="C225" s="212"/>
      <c r="D225" s="213"/>
      <c r="E225" s="213"/>
      <c r="F225" s="213"/>
      <c r="G225" s="213"/>
      <c r="H225" s="72"/>
      <c r="I225" s="68"/>
    </row>
    <row r="226" spans="1:9" x14ac:dyDescent="0.3">
      <c r="A226" s="69">
        <f>+A225+0.0001</f>
        <v>2.0300999999999996</v>
      </c>
      <c r="B226" s="70" t="s">
        <v>284</v>
      </c>
      <c r="C226" s="71" t="s">
        <v>182</v>
      </c>
      <c r="D226" s="72">
        <v>1</v>
      </c>
      <c r="E226" s="72">
        <f>'CUADRO DE CONEX DOMICILIARIAS'!H504</f>
        <v>1769.3000000000018</v>
      </c>
      <c r="F226" s="72"/>
      <c r="G226" s="72"/>
      <c r="H226" s="72">
        <f t="shared" ref="H226:H253" si="50">ROUND(PRODUCT(D226:G226),2)</f>
        <v>1769.3</v>
      </c>
      <c r="I226" s="68">
        <f t="shared" si="47"/>
        <v>1769.3</v>
      </c>
    </row>
    <row r="227" spans="1:9" x14ac:dyDescent="0.3">
      <c r="A227" s="69">
        <f t="shared" ref="A227:A231" si="51">+A226+0.0001</f>
        <v>2.0301999999999998</v>
      </c>
      <c r="B227" s="70" t="s">
        <v>285</v>
      </c>
      <c r="C227" s="71" t="s">
        <v>182</v>
      </c>
      <c r="D227" s="72">
        <v>1</v>
      </c>
      <c r="E227" s="72">
        <f>'CUADRO DE CONEX DOMICILIARIAS'!H505</f>
        <v>49.410000000000011</v>
      </c>
      <c r="F227" s="72"/>
      <c r="G227" s="72"/>
      <c r="H227" s="72">
        <f t="shared" si="50"/>
        <v>49.41</v>
      </c>
      <c r="I227" s="68">
        <f t="shared" si="47"/>
        <v>49.41</v>
      </c>
    </row>
    <row r="228" spans="1:9" x14ac:dyDescent="0.3">
      <c r="A228" s="69">
        <f t="shared" si="51"/>
        <v>2.0303</v>
      </c>
      <c r="B228" s="70" t="s">
        <v>286</v>
      </c>
      <c r="C228" s="71" t="s">
        <v>182</v>
      </c>
      <c r="D228" s="72">
        <v>1</v>
      </c>
      <c r="E228" s="72">
        <f>SUM(E226:E227)</f>
        <v>1818.7100000000019</v>
      </c>
      <c r="F228" s="72"/>
      <c r="G228" s="72"/>
      <c r="H228" s="72">
        <f t="shared" si="50"/>
        <v>1818.71</v>
      </c>
      <c r="I228" s="68">
        <f t="shared" si="47"/>
        <v>1818.71</v>
      </c>
    </row>
    <row r="229" spans="1:9" x14ac:dyDescent="0.3">
      <c r="A229" s="69">
        <f t="shared" si="51"/>
        <v>2.0304000000000002</v>
      </c>
      <c r="B229" s="70" t="s">
        <v>287</v>
      </c>
      <c r="C229" s="71" t="s">
        <v>182</v>
      </c>
      <c r="D229" s="72">
        <v>1</v>
      </c>
      <c r="E229" s="72">
        <f>+E226</f>
        <v>1769.3000000000018</v>
      </c>
      <c r="F229" s="72"/>
      <c r="G229" s="72"/>
      <c r="H229" s="72">
        <f t="shared" si="50"/>
        <v>1769.3</v>
      </c>
      <c r="I229" s="68">
        <f t="shared" si="47"/>
        <v>1769.3</v>
      </c>
    </row>
    <row r="230" spans="1:9" x14ac:dyDescent="0.3">
      <c r="A230" s="69">
        <f t="shared" si="51"/>
        <v>2.0305000000000004</v>
      </c>
      <c r="B230" s="70" t="s">
        <v>288</v>
      </c>
      <c r="C230" s="71" t="s">
        <v>182</v>
      </c>
      <c r="D230" s="72">
        <v>1</v>
      </c>
      <c r="E230" s="72">
        <f>+E227</f>
        <v>49.410000000000011</v>
      </c>
      <c r="F230" s="72"/>
      <c r="G230" s="72"/>
      <c r="H230" s="72">
        <f t="shared" si="50"/>
        <v>49.41</v>
      </c>
      <c r="I230" s="68">
        <f t="shared" si="47"/>
        <v>49.41</v>
      </c>
    </row>
    <row r="231" spans="1:9" x14ac:dyDescent="0.3">
      <c r="A231" s="69">
        <f t="shared" si="51"/>
        <v>2.0306000000000006</v>
      </c>
      <c r="B231" s="70" t="s">
        <v>289</v>
      </c>
      <c r="C231" s="71" t="s">
        <v>182</v>
      </c>
      <c r="D231" s="72">
        <v>1</v>
      </c>
      <c r="E231" s="72">
        <f>+E228</f>
        <v>1818.7100000000019</v>
      </c>
      <c r="F231" s="72"/>
      <c r="G231" s="72"/>
      <c r="H231" s="72">
        <f t="shared" si="50"/>
        <v>1818.71</v>
      </c>
      <c r="I231" s="68">
        <f t="shared" si="47"/>
        <v>1818.71</v>
      </c>
    </row>
    <row r="232" spans="1:9" ht="15" hidden="1" x14ac:dyDescent="0.25">
      <c r="A232" s="215"/>
      <c r="B232" s="70"/>
      <c r="C232" s="71"/>
      <c r="D232" s="72"/>
      <c r="E232" s="72"/>
      <c r="F232" s="72"/>
      <c r="G232" s="72"/>
      <c r="H232" s="72"/>
      <c r="I232" s="68"/>
    </row>
    <row r="233" spans="1:9" x14ac:dyDescent="0.3">
      <c r="A233" s="210">
        <f>+A225+0.01</f>
        <v>2.0399999999999991</v>
      </c>
      <c r="B233" s="211" t="s">
        <v>290</v>
      </c>
      <c r="C233" s="212"/>
      <c r="D233" s="213"/>
      <c r="E233" s="213"/>
      <c r="F233" s="213"/>
      <c r="G233" s="213"/>
      <c r="H233" s="72"/>
      <c r="I233" s="68"/>
    </row>
    <row r="234" spans="1:9" x14ac:dyDescent="0.3">
      <c r="A234" s="222">
        <f>+A233+0.0001</f>
        <v>2.0400999999999994</v>
      </c>
      <c r="B234" s="223" t="s">
        <v>291</v>
      </c>
      <c r="C234" s="71"/>
      <c r="D234" s="72"/>
      <c r="E234" s="72"/>
      <c r="F234" s="72"/>
      <c r="G234" s="72"/>
      <c r="H234" s="72"/>
      <c r="I234" s="68"/>
    </row>
    <row r="235" spans="1:9" x14ac:dyDescent="0.3">
      <c r="A235" s="167">
        <f>+A234+0.000001</f>
        <v>2.0401009999999995</v>
      </c>
      <c r="B235" s="224" t="s">
        <v>675</v>
      </c>
      <c r="C235" s="71" t="s">
        <v>182</v>
      </c>
      <c r="D235" s="72">
        <v>1</v>
      </c>
      <c r="E235" s="72">
        <f>+E231</f>
        <v>1818.7100000000019</v>
      </c>
      <c r="F235" s="72"/>
      <c r="G235" s="72"/>
      <c r="H235" s="72">
        <f t="shared" si="50"/>
        <v>1818.71</v>
      </c>
      <c r="I235" s="68">
        <f t="shared" si="47"/>
        <v>1818.71</v>
      </c>
    </row>
    <row r="236" spans="1:9" x14ac:dyDescent="0.3">
      <c r="A236" s="167">
        <f t="shared" ref="A236:A244" si="52">+A235+0.000001</f>
        <v>2.0401019999999996</v>
      </c>
      <c r="B236" s="224" t="s">
        <v>676</v>
      </c>
      <c r="C236" s="71" t="s">
        <v>182</v>
      </c>
      <c r="D236" s="72">
        <v>1</v>
      </c>
      <c r="E236" s="72">
        <f>+E235</f>
        <v>1818.7100000000019</v>
      </c>
      <c r="F236" s="72"/>
      <c r="G236" s="72"/>
      <c r="H236" s="72">
        <f t="shared" si="50"/>
        <v>1818.71</v>
      </c>
      <c r="I236" s="68">
        <f t="shared" si="47"/>
        <v>1818.71</v>
      </c>
    </row>
    <row r="237" spans="1:9" x14ac:dyDescent="0.3">
      <c r="A237" s="167">
        <f t="shared" si="52"/>
        <v>2.0401029999999998</v>
      </c>
      <c r="B237" s="224" t="s">
        <v>292</v>
      </c>
      <c r="C237" s="71" t="s">
        <v>173</v>
      </c>
      <c r="D237" s="72">
        <v>348</v>
      </c>
      <c r="E237" s="72"/>
      <c r="F237" s="72"/>
      <c r="G237" s="72"/>
      <c r="H237" s="72">
        <f t="shared" si="50"/>
        <v>348</v>
      </c>
      <c r="I237" s="68">
        <f t="shared" si="47"/>
        <v>348</v>
      </c>
    </row>
    <row r="238" spans="1:9" x14ac:dyDescent="0.3">
      <c r="A238" s="167">
        <f t="shared" si="52"/>
        <v>2.0401039999999999</v>
      </c>
      <c r="B238" s="224" t="s">
        <v>293</v>
      </c>
      <c r="C238" s="71" t="s">
        <v>173</v>
      </c>
      <c r="D238" s="72">
        <v>23</v>
      </c>
      <c r="E238" s="72"/>
      <c r="F238" s="72"/>
      <c r="G238" s="72"/>
      <c r="H238" s="72">
        <f t="shared" si="50"/>
        <v>23</v>
      </c>
      <c r="I238" s="68">
        <f t="shared" si="47"/>
        <v>23</v>
      </c>
    </row>
    <row r="239" spans="1:9" x14ac:dyDescent="0.3">
      <c r="A239" s="167">
        <f t="shared" si="52"/>
        <v>2.0401050000000001</v>
      </c>
      <c r="B239" s="224" t="s">
        <v>294</v>
      </c>
      <c r="C239" s="71" t="s">
        <v>173</v>
      </c>
      <c r="D239" s="72">
        <v>81</v>
      </c>
      <c r="E239" s="72"/>
      <c r="F239" s="72"/>
      <c r="G239" s="72"/>
      <c r="H239" s="72">
        <f t="shared" si="50"/>
        <v>81</v>
      </c>
      <c r="I239" s="68">
        <f t="shared" si="47"/>
        <v>81</v>
      </c>
    </row>
    <row r="240" spans="1:9" x14ac:dyDescent="0.3">
      <c r="A240" s="167">
        <f t="shared" si="52"/>
        <v>2.0401060000000002</v>
      </c>
      <c r="B240" s="224" t="s">
        <v>677</v>
      </c>
      <c r="C240" s="71" t="s">
        <v>173</v>
      </c>
      <c r="D240" s="72">
        <v>7</v>
      </c>
      <c r="E240" s="72"/>
      <c r="F240" s="72"/>
      <c r="G240" s="72"/>
      <c r="H240" s="72">
        <f t="shared" si="50"/>
        <v>7</v>
      </c>
      <c r="I240" s="68">
        <f t="shared" si="47"/>
        <v>7</v>
      </c>
    </row>
    <row r="241" spans="1:9" x14ac:dyDescent="0.3">
      <c r="A241" s="167">
        <f t="shared" si="52"/>
        <v>2.0401070000000003</v>
      </c>
      <c r="B241" s="224" t="s">
        <v>678</v>
      </c>
      <c r="C241" s="71" t="s">
        <v>173</v>
      </c>
      <c r="D241" s="72">
        <v>26</v>
      </c>
      <c r="E241" s="72"/>
      <c r="F241" s="72"/>
      <c r="G241" s="72"/>
      <c r="H241" s="72">
        <f t="shared" si="50"/>
        <v>26</v>
      </c>
      <c r="I241" s="68">
        <f t="shared" si="47"/>
        <v>26</v>
      </c>
    </row>
    <row r="242" spans="1:9" x14ac:dyDescent="0.3">
      <c r="A242" s="167">
        <f t="shared" si="52"/>
        <v>2.0401080000000005</v>
      </c>
      <c r="B242" s="224" t="s">
        <v>295</v>
      </c>
      <c r="C242" s="71" t="s">
        <v>173</v>
      </c>
      <c r="D242" s="72">
        <f>D237+D238</f>
        <v>371</v>
      </c>
      <c r="E242" s="72"/>
      <c r="F242" s="72"/>
      <c r="G242" s="72"/>
      <c r="H242" s="72">
        <f t="shared" si="50"/>
        <v>371</v>
      </c>
      <c r="I242" s="68">
        <f t="shared" si="47"/>
        <v>371</v>
      </c>
    </row>
    <row r="243" spans="1:9" x14ac:dyDescent="0.3">
      <c r="A243" s="167">
        <f t="shared" si="52"/>
        <v>2.0401090000000006</v>
      </c>
      <c r="B243" s="224" t="s">
        <v>296</v>
      </c>
      <c r="C243" s="71" t="s">
        <v>173</v>
      </c>
      <c r="D243" s="72">
        <f>D239</f>
        <v>81</v>
      </c>
      <c r="E243" s="72"/>
      <c r="F243" s="72"/>
      <c r="G243" s="72"/>
      <c r="H243" s="72">
        <f t="shared" si="50"/>
        <v>81</v>
      </c>
      <c r="I243" s="68">
        <f t="shared" si="47"/>
        <v>81</v>
      </c>
    </row>
    <row r="244" spans="1:9" x14ac:dyDescent="0.3">
      <c r="A244" s="167">
        <f t="shared" si="52"/>
        <v>2.0401100000000008</v>
      </c>
      <c r="B244" s="224" t="s">
        <v>679</v>
      </c>
      <c r="C244" s="71" t="s">
        <v>173</v>
      </c>
      <c r="D244" s="72">
        <f>D240+D241</f>
        <v>33</v>
      </c>
      <c r="E244" s="72"/>
      <c r="F244" s="72"/>
      <c r="G244" s="72"/>
      <c r="H244" s="72">
        <f t="shared" si="50"/>
        <v>33</v>
      </c>
      <c r="I244" s="68">
        <f t="shared" si="47"/>
        <v>33</v>
      </c>
    </row>
    <row r="245" spans="1:9" ht="15" hidden="1" x14ac:dyDescent="0.25">
      <c r="A245" s="69"/>
      <c r="B245" s="70"/>
      <c r="C245" s="71"/>
      <c r="D245" s="72"/>
      <c r="E245" s="72"/>
      <c r="F245" s="72"/>
      <c r="G245" s="72"/>
      <c r="H245" s="72"/>
      <c r="I245" s="68"/>
    </row>
    <row r="246" spans="1:9" x14ac:dyDescent="0.3">
      <c r="A246" s="222">
        <f>+A234+0.0001</f>
        <v>2.0401999999999996</v>
      </c>
      <c r="B246" s="223" t="s">
        <v>297</v>
      </c>
      <c r="C246" s="71"/>
      <c r="D246" s="72"/>
      <c r="E246" s="72"/>
      <c r="F246" s="72"/>
      <c r="G246" s="72"/>
      <c r="H246" s="72"/>
      <c r="I246" s="68"/>
    </row>
    <row r="247" spans="1:9" x14ac:dyDescent="0.3">
      <c r="A247" s="167">
        <f>+A246+0.000001</f>
        <v>2.0402009999999997</v>
      </c>
      <c r="B247" s="224" t="s">
        <v>298</v>
      </c>
      <c r="C247" s="71" t="s">
        <v>173</v>
      </c>
      <c r="D247" s="72">
        <f>'CUADRO DE CONEX DOMICILIARIAS'!H513</f>
        <v>475</v>
      </c>
      <c r="E247" s="72"/>
      <c r="F247" s="72"/>
      <c r="G247" s="72"/>
      <c r="H247" s="72">
        <f t="shared" si="50"/>
        <v>475</v>
      </c>
      <c r="I247" s="68">
        <f t="shared" si="47"/>
        <v>475</v>
      </c>
    </row>
    <row r="248" spans="1:9" x14ac:dyDescent="0.3">
      <c r="A248" s="167">
        <f t="shared" ref="A248:A250" si="53">+A247+0.000001</f>
        <v>2.0402019999999998</v>
      </c>
      <c r="B248" s="224" t="s">
        <v>299</v>
      </c>
      <c r="C248" s="71" t="s">
        <v>173</v>
      </c>
      <c r="D248" s="72">
        <f>'CUADRO DE CONEX DOMICILIARIAS'!H514</f>
        <v>10</v>
      </c>
      <c r="E248" s="72"/>
      <c r="F248" s="72"/>
      <c r="G248" s="72"/>
      <c r="H248" s="72">
        <f t="shared" si="50"/>
        <v>10</v>
      </c>
      <c r="I248" s="68">
        <f t="shared" si="47"/>
        <v>10</v>
      </c>
    </row>
    <row r="249" spans="1:9" x14ac:dyDescent="0.3">
      <c r="A249" s="167">
        <f t="shared" si="53"/>
        <v>2.040203</v>
      </c>
      <c r="B249" s="224" t="s">
        <v>300</v>
      </c>
      <c r="C249" s="71" t="s">
        <v>173</v>
      </c>
      <c r="D249" s="72">
        <f>+D247</f>
        <v>475</v>
      </c>
      <c r="E249" s="72"/>
      <c r="F249" s="72"/>
      <c r="G249" s="72"/>
      <c r="H249" s="72">
        <f t="shared" si="50"/>
        <v>475</v>
      </c>
      <c r="I249" s="68">
        <f t="shared" si="47"/>
        <v>475</v>
      </c>
    </row>
    <row r="250" spans="1:9" x14ac:dyDescent="0.3">
      <c r="A250" s="167">
        <f t="shared" si="53"/>
        <v>2.0402040000000001</v>
      </c>
      <c r="B250" s="224" t="s">
        <v>301</v>
      </c>
      <c r="C250" s="71" t="s">
        <v>173</v>
      </c>
      <c r="D250" s="72">
        <f>+D248</f>
        <v>10</v>
      </c>
      <c r="E250" s="72"/>
      <c r="F250" s="72"/>
      <c r="G250" s="72"/>
      <c r="H250" s="72">
        <f t="shared" si="50"/>
        <v>10</v>
      </c>
      <c r="I250" s="68">
        <f t="shared" si="47"/>
        <v>10</v>
      </c>
    </row>
    <row r="251" spans="1:9" x14ac:dyDescent="0.3">
      <c r="A251" s="222">
        <f>+A246+0.0001</f>
        <v>2.0402999999999998</v>
      </c>
      <c r="B251" s="241" t="s">
        <v>302</v>
      </c>
      <c r="C251" s="242"/>
      <c r="D251" s="243"/>
      <c r="E251" s="243"/>
      <c r="F251" s="243"/>
      <c r="G251" s="243"/>
      <c r="H251" s="72"/>
      <c r="I251" s="68"/>
    </row>
    <row r="252" spans="1:9" x14ac:dyDescent="0.3">
      <c r="A252" s="167">
        <f>+A251+0.000001</f>
        <v>2.0403009999999999</v>
      </c>
      <c r="B252" s="244" t="s">
        <v>680</v>
      </c>
      <c r="C252" s="242" t="s">
        <v>182</v>
      </c>
      <c r="D252" s="243">
        <v>1</v>
      </c>
      <c r="E252" s="243">
        <f>+I235</f>
        <v>1818.71</v>
      </c>
      <c r="F252" s="243"/>
      <c r="G252" s="243"/>
      <c r="H252" s="72">
        <f t="shared" si="50"/>
        <v>1818.71</v>
      </c>
      <c r="I252" s="68">
        <f t="shared" si="47"/>
        <v>1818.71</v>
      </c>
    </row>
    <row r="253" spans="1:9" x14ac:dyDescent="0.3">
      <c r="A253" s="167">
        <f>+A252+0.000001</f>
        <v>2.0403020000000001</v>
      </c>
      <c r="B253" s="244" t="s">
        <v>681</v>
      </c>
      <c r="C253" s="242" t="s">
        <v>173</v>
      </c>
      <c r="D253" s="243">
        <f>ROUNDUP(I231/50,0)</f>
        <v>37</v>
      </c>
      <c r="E253" s="243"/>
      <c r="F253" s="243"/>
      <c r="G253" s="243"/>
      <c r="H253" s="72">
        <f t="shared" si="50"/>
        <v>37</v>
      </c>
      <c r="I253" s="68">
        <f t="shared" si="47"/>
        <v>37</v>
      </c>
    </row>
    <row r="254" spans="1:9" ht="15" thickBot="1" x14ac:dyDescent="0.35">
      <c r="A254" s="245"/>
      <c r="B254" s="246"/>
      <c r="C254" s="247"/>
      <c r="D254" s="248"/>
      <c r="E254" s="248"/>
      <c r="F254" s="248"/>
      <c r="G254" s="248"/>
      <c r="H254" s="248"/>
      <c r="I254" s="249"/>
    </row>
    <row r="255" spans="1:9" x14ac:dyDescent="0.3">
      <c r="A255" s="289"/>
      <c r="B255" s="289"/>
      <c r="C255" s="289"/>
      <c r="D255" s="290"/>
      <c r="E255" s="290"/>
      <c r="F255" s="290"/>
      <c r="G255" s="290"/>
      <c r="H255" s="290"/>
      <c r="I255" s="291"/>
    </row>
    <row r="256" spans="1:9" x14ac:dyDescent="0.3">
      <c r="A256" s="287"/>
      <c r="B256" s="288"/>
      <c r="C256" s="283"/>
      <c r="D256" s="284"/>
      <c r="E256" s="284"/>
      <c r="F256" s="284"/>
      <c r="G256" s="284"/>
      <c r="H256" s="284"/>
      <c r="I256" s="280"/>
    </row>
    <row r="257" spans="1:9" x14ac:dyDescent="0.3">
      <c r="A257" s="287"/>
      <c r="B257" s="288"/>
      <c r="C257" s="283"/>
      <c r="D257" s="284"/>
      <c r="E257" s="284"/>
      <c r="F257" s="284"/>
      <c r="G257" s="284"/>
      <c r="H257" s="284"/>
      <c r="I257" s="280"/>
    </row>
    <row r="258" spans="1:9" x14ac:dyDescent="0.3">
      <c r="A258" s="281"/>
      <c r="B258" s="282"/>
      <c r="C258" s="283"/>
      <c r="D258" s="284"/>
      <c r="E258" s="284"/>
      <c r="F258" s="284"/>
      <c r="G258" s="284"/>
      <c r="H258" s="284"/>
      <c r="I258" s="280"/>
    </row>
    <row r="259" spans="1:9" x14ac:dyDescent="0.3">
      <c r="A259" s="285"/>
      <c r="B259" s="286"/>
      <c r="C259" s="283"/>
      <c r="D259" s="284"/>
      <c r="E259" s="284"/>
      <c r="F259" s="284"/>
      <c r="G259" s="284"/>
      <c r="H259" s="284"/>
      <c r="I259" s="280"/>
    </row>
    <row r="260" spans="1:9" x14ac:dyDescent="0.3">
      <c r="A260" s="287"/>
      <c r="B260" s="288"/>
      <c r="C260" s="283"/>
      <c r="D260" s="284"/>
      <c r="E260" s="284"/>
      <c r="F260" s="284"/>
      <c r="G260" s="284"/>
      <c r="H260" s="284"/>
      <c r="I260" s="280"/>
    </row>
    <row r="261" spans="1:9" x14ac:dyDescent="0.3">
      <c r="A261" s="287"/>
      <c r="B261" s="288"/>
      <c r="C261" s="283"/>
      <c r="D261" s="284"/>
      <c r="E261" s="284"/>
      <c r="F261" s="284"/>
      <c r="G261" s="284"/>
      <c r="H261" s="284"/>
      <c r="I261" s="280"/>
    </row>
    <row r="262" spans="1:9" x14ac:dyDescent="0.3">
      <c r="A262" s="287"/>
      <c r="B262" s="288"/>
      <c r="C262" s="283"/>
      <c r="D262" s="284"/>
      <c r="E262" s="284"/>
      <c r="F262" s="284"/>
      <c r="G262" s="284"/>
      <c r="H262" s="284"/>
      <c r="I262" s="280"/>
    </row>
    <row r="263" spans="1:9" x14ac:dyDescent="0.3">
      <c r="A263" s="287"/>
      <c r="B263" s="288"/>
      <c r="C263" s="283"/>
      <c r="D263" s="284"/>
      <c r="E263" s="284"/>
      <c r="F263" s="284"/>
      <c r="G263" s="284"/>
      <c r="H263" s="284"/>
      <c r="I263" s="280"/>
    </row>
    <row r="264" spans="1:9" x14ac:dyDescent="0.3">
      <c r="A264" s="285"/>
      <c r="B264" s="286"/>
      <c r="C264" s="283"/>
      <c r="D264" s="284"/>
      <c r="E264" s="284"/>
      <c r="F264" s="284"/>
      <c r="G264" s="284"/>
      <c r="H264" s="284"/>
      <c r="I264" s="280"/>
    </row>
    <row r="265" spans="1:9" x14ac:dyDescent="0.3">
      <c r="A265" s="287"/>
      <c r="B265" s="288"/>
      <c r="C265" s="283"/>
      <c r="D265" s="284"/>
      <c r="E265" s="284"/>
      <c r="F265" s="284"/>
      <c r="G265" s="284"/>
      <c r="H265" s="284"/>
      <c r="I265" s="280"/>
    </row>
    <row r="266" spans="1:9" x14ac:dyDescent="0.3">
      <c r="A266" s="287"/>
      <c r="B266" s="288"/>
      <c r="C266" s="283"/>
      <c r="D266" s="284"/>
      <c r="E266" s="284"/>
      <c r="F266" s="284"/>
      <c r="G266" s="284"/>
      <c r="H266" s="284"/>
      <c r="I266" s="280"/>
    </row>
    <row r="267" spans="1:9" x14ac:dyDescent="0.3">
      <c r="A267" s="289"/>
      <c r="B267" s="289"/>
      <c r="C267" s="289"/>
      <c r="D267" s="290"/>
      <c r="E267" s="290"/>
      <c r="F267" s="290"/>
      <c r="G267" s="290"/>
      <c r="H267" s="290"/>
      <c r="I267" s="291"/>
    </row>
  </sheetData>
  <mergeCells count="3">
    <mergeCell ref="A5:I5"/>
    <mergeCell ref="A1:I1"/>
    <mergeCell ref="B2:I2"/>
  </mergeCells>
  <pageMargins left="0.70866141732283472" right="0.70866141732283472" top="0.74803149606299213" bottom="0.74803149606299213" header="0.31496062992125984" footer="0.31496062992125984"/>
  <pageSetup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4"/>
  <sheetViews>
    <sheetView workbookViewId="0">
      <selection activeCell="F11" sqref="F11"/>
    </sheetView>
  </sheetViews>
  <sheetFormatPr baseColWidth="10" defaultRowHeight="14.4" x14ac:dyDescent="0.3"/>
  <sheetData>
    <row r="2" spans="1:3" x14ac:dyDescent="0.3">
      <c r="A2" t="s">
        <v>579</v>
      </c>
      <c r="C2" t="s">
        <v>581</v>
      </c>
    </row>
    <row r="4" spans="1:3" x14ac:dyDescent="0.3">
      <c r="A4" t="s">
        <v>580</v>
      </c>
      <c r="C4" t="s">
        <v>582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F21" sqref="F21"/>
    </sheetView>
  </sheetViews>
  <sheetFormatPr baseColWidth="10" defaultRowHeight="14.4" x14ac:dyDescent="0.3"/>
  <cols>
    <col min="1" max="1" width="28" customWidth="1"/>
  </cols>
  <sheetData>
    <row r="1" spans="1:1" x14ac:dyDescent="0.25">
      <c r="A1" s="448" t="s">
        <v>635</v>
      </c>
    </row>
    <row r="2" spans="1:1" x14ac:dyDescent="0.25">
      <c r="A2" s="402">
        <v>50.16</v>
      </c>
    </row>
    <row r="3" spans="1:1" x14ac:dyDescent="0.25">
      <c r="A3" s="402">
        <v>3.7</v>
      </c>
    </row>
    <row r="4" spans="1:1" x14ac:dyDescent="0.25">
      <c r="A4" s="402">
        <v>50.45</v>
      </c>
    </row>
    <row r="5" spans="1:1" x14ac:dyDescent="0.25">
      <c r="A5" s="402">
        <v>22.46</v>
      </c>
    </row>
    <row r="6" spans="1:1" x14ac:dyDescent="0.25">
      <c r="A6" s="402">
        <v>9.2799999999999994</v>
      </c>
    </row>
    <row r="7" spans="1:1" x14ac:dyDescent="0.25">
      <c r="A7" s="402">
        <v>64.650000000000006</v>
      </c>
    </row>
    <row r="8" spans="1:1" x14ac:dyDescent="0.25">
      <c r="A8" s="402">
        <v>15.91</v>
      </c>
    </row>
    <row r="9" spans="1:1" x14ac:dyDescent="0.25">
      <c r="A9" s="402">
        <v>38.54</v>
      </c>
    </row>
    <row r="10" spans="1:1" x14ac:dyDescent="0.25">
      <c r="A10" s="402">
        <v>51.11</v>
      </c>
    </row>
    <row r="11" spans="1:1" x14ac:dyDescent="0.25">
      <c r="A11" s="402">
        <v>43.54</v>
      </c>
    </row>
    <row r="12" spans="1:1" x14ac:dyDescent="0.25">
      <c r="A12">
        <f>SUM(A2:A11)</f>
        <v>349.8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06"/>
  <sheetViews>
    <sheetView topLeftCell="A19" zoomScaleNormal="100" zoomScaleSheetLayoutView="100" workbookViewId="0">
      <selection activeCell="B104" sqref="B104"/>
    </sheetView>
  </sheetViews>
  <sheetFormatPr baseColWidth="10" defaultColWidth="9.109375" defaultRowHeight="14.4" x14ac:dyDescent="0.3"/>
  <cols>
    <col min="1" max="1" width="2.88671875" customWidth="1"/>
    <col min="3" max="3" width="17.33203125" customWidth="1"/>
    <col min="4" max="4" width="17.88671875" customWidth="1"/>
    <col min="6" max="6" width="9.109375" style="2"/>
  </cols>
  <sheetData>
    <row r="1" spans="2:6" ht="15" x14ac:dyDescent="0.25">
      <c r="B1" s="449"/>
      <c r="C1" s="449"/>
      <c r="D1" s="449"/>
      <c r="E1" s="449"/>
      <c r="F1" s="449"/>
    </row>
    <row r="2" spans="2:6" ht="15" x14ac:dyDescent="0.25">
      <c r="B2" s="3" t="s">
        <v>2</v>
      </c>
      <c r="C2" s="1" t="s">
        <v>3</v>
      </c>
      <c r="D2" s="1" t="s">
        <v>4</v>
      </c>
      <c r="E2" s="1" t="s">
        <v>0</v>
      </c>
      <c r="F2" s="1" t="s">
        <v>1</v>
      </c>
    </row>
    <row r="3" spans="2:6" ht="15" x14ac:dyDescent="0.25">
      <c r="B3" s="172" t="s">
        <v>106</v>
      </c>
      <c r="C3" s="23">
        <v>32.049999999999997</v>
      </c>
      <c r="D3" s="23">
        <v>30.85</v>
      </c>
      <c r="E3" s="23">
        <f t="shared" ref="E3:E74" si="0">C3-D3</f>
        <v>1.1999999999999957</v>
      </c>
      <c r="F3" t="s">
        <v>122</v>
      </c>
    </row>
    <row r="4" spans="2:6" ht="15" x14ac:dyDescent="0.25">
      <c r="B4" s="173" t="s">
        <v>107</v>
      </c>
      <c r="C4" s="174">
        <v>32.07</v>
      </c>
      <c r="D4" s="174">
        <v>30.55</v>
      </c>
      <c r="E4" s="174">
        <f t="shared" si="0"/>
        <v>1.5199999999999996</v>
      </c>
      <c r="F4" t="s">
        <v>122</v>
      </c>
    </row>
    <row r="5" spans="2:6" ht="15" x14ac:dyDescent="0.25">
      <c r="B5" s="173" t="s">
        <v>108</v>
      </c>
      <c r="C5" s="174">
        <v>32.83</v>
      </c>
      <c r="D5" s="174">
        <v>31.49</v>
      </c>
      <c r="E5" s="174">
        <f t="shared" si="0"/>
        <v>1.3399999999999999</v>
      </c>
      <c r="F5" t="s">
        <v>122</v>
      </c>
    </row>
    <row r="6" spans="2:6" ht="15.75" customHeight="1" x14ac:dyDescent="0.25">
      <c r="B6" s="173" t="s">
        <v>109</v>
      </c>
      <c r="C6" s="174">
        <v>32.369999999999997</v>
      </c>
      <c r="D6" s="174">
        <v>31.03</v>
      </c>
      <c r="E6" s="174">
        <f t="shared" si="0"/>
        <v>1.3399999999999963</v>
      </c>
      <c r="F6" t="s">
        <v>122</v>
      </c>
    </row>
    <row r="7" spans="2:6" ht="15" x14ac:dyDescent="0.25">
      <c r="B7" s="173" t="s">
        <v>110</v>
      </c>
      <c r="C7" s="174">
        <v>32.869999999999997</v>
      </c>
      <c r="D7" s="174">
        <v>31.67</v>
      </c>
      <c r="E7" s="174">
        <f t="shared" si="0"/>
        <v>1.1999999999999957</v>
      </c>
      <c r="F7" t="s">
        <v>122</v>
      </c>
    </row>
    <row r="8" spans="2:6" ht="15" x14ac:dyDescent="0.25">
      <c r="B8" s="173" t="s">
        <v>111</v>
      </c>
      <c r="C8" s="174">
        <v>32.64</v>
      </c>
      <c r="D8" s="174">
        <v>31.26</v>
      </c>
      <c r="E8" s="174">
        <f t="shared" si="0"/>
        <v>1.379999999999999</v>
      </c>
      <c r="F8" t="s">
        <v>122</v>
      </c>
    </row>
    <row r="9" spans="2:6" ht="15" x14ac:dyDescent="0.25">
      <c r="B9" s="173" t="s">
        <v>112</v>
      </c>
      <c r="C9" s="174">
        <v>32.15</v>
      </c>
      <c r="D9" s="174">
        <v>29.8</v>
      </c>
      <c r="E9" s="174">
        <f t="shared" si="0"/>
        <v>2.3499999999999979</v>
      </c>
      <c r="F9" t="s">
        <v>122</v>
      </c>
    </row>
    <row r="10" spans="2:6" ht="15" x14ac:dyDescent="0.25">
      <c r="B10" s="173" t="s">
        <v>113</v>
      </c>
      <c r="C10" s="174">
        <v>32.35</v>
      </c>
      <c r="D10" s="174">
        <v>30.82</v>
      </c>
      <c r="E10" s="174">
        <f t="shared" si="0"/>
        <v>1.5300000000000011</v>
      </c>
      <c r="F10" t="s">
        <v>122</v>
      </c>
    </row>
    <row r="11" spans="2:6" ht="15" x14ac:dyDescent="0.25">
      <c r="B11" s="173" t="s">
        <v>414</v>
      </c>
      <c r="C11" s="174">
        <v>32.28</v>
      </c>
      <c r="D11" s="174">
        <v>31.04</v>
      </c>
      <c r="E11" s="174">
        <f t="shared" si="0"/>
        <v>1.240000000000002</v>
      </c>
      <c r="F11" t="s">
        <v>122</v>
      </c>
    </row>
    <row r="12" spans="2:6" ht="15" x14ac:dyDescent="0.25">
      <c r="B12" s="173" t="s">
        <v>114</v>
      </c>
      <c r="C12" s="174">
        <v>32.44</v>
      </c>
      <c r="D12" s="174">
        <v>30.44</v>
      </c>
      <c r="E12" s="174">
        <f t="shared" si="0"/>
        <v>1.9999999999999964</v>
      </c>
      <c r="F12" t="s">
        <v>122</v>
      </c>
    </row>
    <row r="13" spans="2:6" ht="15" x14ac:dyDescent="0.25">
      <c r="B13" s="173" t="s">
        <v>415</v>
      </c>
      <c r="C13" s="174">
        <v>32.1</v>
      </c>
      <c r="D13" s="174">
        <v>30.14</v>
      </c>
      <c r="E13" s="174">
        <f t="shared" si="0"/>
        <v>1.9600000000000009</v>
      </c>
      <c r="F13" t="s">
        <v>122</v>
      </c>
    </row>
    <row r="14" spans="2:6" ht="15" x14ac:dyDescent="0.25">
      <c r="B14" s="175" t="s">
        <v>437</v>
      </c>
      <c r="C14" s="176">
        <v>32.020000000000003</v>
      </c>
      <c r="D14" s="176">
        <v>31.1</v>
      </c>
      <c r="E14" s="177">
        <f t="shared" si="0"/>
        <v>0.92000000000000171</v>
      </c>
      <c r="F14" s="178" t="s">
        <v>126</v>
      </c>
    </row>
    <row r="15" spans="2:6" ht="15" x14ac:dyDescent="0.25">
      <c r="B15" s="179" t="s">
        <v>53</v>
      </c>
      <c r="C15" s="174">
        <v>38.659999999999997</v>
      </c>
      <c r="D15" s="174">
        <v>37.340000000000003</v>
      </c>
      <c r="E15" s="174">
        <f t="shared" si="0"/>
        <v>1.3199999999999932</v>
      </c>
      <c r="F15" t="s">
        <v>122</v>
      </c>
    </row>
    <row r="16" spans="2:6" ht="15" x14ac:dyDescent="0.25">
      <c r="B16" s="179" t="s">
        <v>416</v>
      </c>
      <c r="C16" s="174">
        <v>38.909999999999997</v>
      </c>
      <c r="D16" s="174">
        <v>37.71</v>
      </c>
      <c r="E16" s="174">
        <f t="shared" si="0"/>
        <v>1.1999999999999957</v>
      </c>
      <c r="F16" t="s">
        <v>122</v>
      </c>
    </row>
    <row r="17" spans="2:6" ht="15" x14ac:dyDescent="0.25">
      <c r="B17" s="179" t="s">
        <v>417</v>
      </c>
      <c r="C17" s="174">
        <v>38.86</v>
      </c>
      <c r="D17" s="174">
        <v>37.659999999999997</v>
      </c>
      <c r="E17" s="174">
        <f t="shared" si="0"/>
        <v>1.2000000000000028</v>
      </c>
      <c r="F17" t="s">
        <v>122</v>
      </c>
    </row>
    <row r="18" spans="2:6" ht="15" x14ac:dyDescent="0.25">
      <c r="B18" s="180" t="s">
        <v>54</v>
      </c>
      <c r="C18" s="181">
        <v>38.39</v>
      </c>
      <c r="D18" s="181">
        <v>37</v>
      </c>
      <c r="E18" s="181">
        <f t="shared" si="0"/>
        <v>1.3900000000000006</v>
      </c>
      <c r="F18" s="182" t="s">
        <v>123</v>
      </c>
    </row>
    <row r="19" spans="2:6" ht="15" x14ac:dyDescent="0.25">
      <c r="B19" s="183" t="s">
        <v>438</v>
      </c>
      <c r="C19" s="177">
        <v>38.380000000000003</v>
      </c>
      <c r="D19" s="177">
        <v>36.82</v>
      </c>
      <c r="E19" s="177">
        <f t="shared" si="0"/>
        <v>1.5600000000000023</v>
      </c>
      <c r="F19" s="178" t="s">
        <v>126</v>
      </c>
    </row>
    <row r="20" spans="2:6" ht="15" x14ac:dyDescent="0.25">
      <c r="B20" s="184" t="s">
        <v>55</v>
      </c>
      <c r="C20" s="185">
        <v>38.83</v>
      </c>
      <c r="D20" s="185">
        <v>37.67</v>
      </c>
      <c r="E20" s="185">
        <f t="shared" si="0"/>
        <v>1.1599999999999966</v>
      </c>
      <c r="F20" s="182" t="s">
        <v>123</v>
      </c>
    </row>
    <row r="21" spans="2:6" ht="15" x14ac:dyDescent="0.25">
      <c r="B21" s="186" t="s">
        <v>439</v>
      </c>
      <c r="C21" s="187">
        <v>38.83</v>
      </c>
      <c r="D21" s="187">
        <v>37.71</v>
      </c>
      <c r="E21" s="187">
        <f t="shared" si="0"/>
        <v>1.1199999999999974</v>
      </c>
      <c r="F21" s="178" t="s">
        <v>126</v>
      </c>
    </row>
    <row r="22" spans="2:6" ht="15" x14ac:dyDescent="0.25">
      <c r="B22" s="180" t="s">
        <v>56</v>
      </c>
      <c r="C22" s="181">
        <v>38.78</v>
      </c>
      <c r="D22" s="181">
        <v>37.520000000000003</v>
      </c>
      <c r="E22" s="181">
        <f t="shared" si="0"/>
        <v>1.259999999999998</v>
      </c>
      <c r="F22" s="182" t="s">
        <v>123</v>
      </c>
    </row>
    <row r="23" spans="2:6" ht="15" x14ac:dyDescent="0.25">
      <c r="B23" s="188" t="s">
        <v>459</v>
      </c>
      <c r="C23" s="189">
        <v>38.770000000000003</v>
      </c>
      <c r="D23" s="189">
        <v>37.549999999999997</v>
      </c>
      <c r="E23" s="189">
        <f t="shared" si="0"/>
        <v>1.220000000000006</v>
      </c>
      <c r="F23" s="47" t="s">
        <v>127</v>
      </c>
    </row>
    <row r="24" spans="2:6" ht="15" x14ac:dyDescent="0.25">
      <c r="B24" s="180" t="s">
        <v>57</v>
      </c>
      <c r="C24" s="181">
        <v>38.69</v>
      </c>
      <c r="D24" s="181">
        <v>37.42</v>
      </c>
      <c r="E24" s="181">
        <f t="shared" si="0"/>
        <v>1.269999999999996</v>
      </c>
      <c r="F24" s="182" t="s">
        <v>123</v>
      </c>
    </row>
    <row r="25" spans="2:6" ht="15" x14ac:dyDescent="0.25">
      <c r="B25" s="183" t="s">
        <v>460</v>
      </c>
      <c r="C25" s="177">
        <v>38.6</v>
      </c>
      <c r="D25" s="177">
        <v>37.25</v>
      </c>
      <c r="E25" s="177">
        <f t="shared" si="0"/>
        <v>1.3500000000000014</v>
      </c>
      <c r="F25" s="178" t="s">
        <v>126</v>
      </c>
    </row>
    <row r="26" spans="2:6" ht="15" x14ac:dyDescent="0.25">
      <c r="B26" s="179" t="s">
        <v>58</v>
      </c>
      <c r="C26" s="174">
        <v>38.19</v>
      </c>
      <c r="D26" s="174">
        <v>36.35</v>
      </c>
      <c r="E26" s="174">
        <f t="shared" si="0"/>
        <v>1.8399999999999963</v>
      </c>
      <c r="F26" s="73" t="s">
        <v>122</v>
      </c>
    </row>
    <row r="27" spans="2:6" ht="15" x14ac:dyDescent="0.25">
      <c r="B27" s="179" t="s">
        <v>59</v>
      </c>
      <c r="C27" s="174">
        <v>38.01</v>
      </c>
      <c r="D27" s="174">
        <v>35.86</v>
      </c>
      <c r="E27" s="174">
        <f t="shared" si="0"/>
        <v>2.1499999999999986</v>
      </c>
      <c r="F27" s="73" t="s">
        <v>122</v>
      </c>
    </row>
    <row r="28" spans="2:6" ht="15" x14ac:dyDescent="0.25">
      <c r="B28" s="179" t="s">
        <v>60</v>
      </c>
      <c r="C28" s="174">
        <v>38.21</v>
      </c>
      <c r="D28" s="174">
        <v>36.51</v>
      </c>
      <c r="E28" s="174">
        <f t="shared" si="0"/>
        <v>1.7000000000000028</v>
      </c>
      <c r="F28" s="73" t="s">
        <v>122</v>
      </c>
    </row>
    <row r="29" spans="2:6" ht="15" x14ac:dyDescent="0.25">
      <c r="B29" s="179" t="s">
        <v>61</v>
      </c>
      <c r="C29" s="174">
        <v>36.85</v>
      </c>
      <c r="D29" s="174">
        <v>35.130000000000003</v>
      </c>
      <c r="E29" s="174">
        <f t="shared" si="0"/>
        <v>1.7199999999999989</v>
      </c>
      <c r="F29" s="73" t="s">
        <v>122</v>
      </c>
    </row>
    <row r="30" spans="2:6" ht="15" x14ac:dyDescent="0.25">
      <c r="B30" s="179" t="s">
        <v>62</v>
      </c>
      <c r="C30" s="174">
        <v>35.85</v>
      </c>
      <c r="D30" s="174">
        <v>34.32</v>
      </c>
      <c r="E30" s="174">
        <f t="shared" si="0"/>
        <v>1.5300000000000011</v>
      </c>
      <c r="F30" s="73" t="s">
        <v>122</v>
      </c>
    </row>
    <row r="31" spans="2:6" ht="15" x14ac:dyDescent="0.25">
      <c r="B31" s="179" t="s">
        <v>63</v>
      </c>
      <c r="C31" s="174">
        <v>36.83</v>
      </c>
      <c r="D31" s="174">
        <v>35.590000000000003</v>
      </c>
      <c r="E31" s="174">
        <f t="shared" si="0"/>
        <v>1.2399999999999949</v>
      </c>
      <c r="F31" s="73" t="s">
        <v>122</v>
      </c>
    </row>
    <row r="32" spans="2:6" ht="15" x14ac:dyDescent="0.25">
      <c r="B32" s="179" t="s">
        <v>64</v>
      </c>
      <c r="C32" s="174">
        <v>36.520000000000003</v>
      </c>
      <c r="D32" s="174">
        <v>35.17</v>
      </c>
      <c r="E32" s="174">
        <f t="shared" si="0"/>
        <v>1.3500000000000014</v>
      </c>
      <c r="F32" s="73" t="s">
        <v>122</v>
      </c>
    </row>
    <row r="33" spans="2:6" ht="15" x14ac:dyDescent="0.25">
      <c r="B33" s="179" t="s">
        <v>65</v>
      </c>
      <c r="C33" s="174">
        <v>36.79</v>
      </c>
      <c r="D33" s="174">
        <v>34.369999999999997</v>
      </c>
      <c r="E33" s="174">
        <f t="shared" si="0"/>
        <v>2.4200000000000017</v>
      </c>
      <c r="F33" s="73" t="s">
        <v>122</v>
      </c>
    </row>
    <row r="34" spans="2:6" ht="15" x14ac:dyDescent="0.25">
      <c r="B34" s="179" t="s">
        <v>66</v>
      </c>
      <c r="C34" s="174">
        <v>36.97</v>
      </c>
      <c r="D34" s="174">
        <v>35.76</v>
      </c>
      <c r="E34" s="174">
        <f t="shared" si="0"/>
        <v>1.2100000000000009</v>
      </c>
      <c r="F34" s="73" t="s">
        <v>122</v>
      </c>
    </row>
    <row r="35" spans="2:6" ht="15" x14ac:dyDescent="0.25">
      <c r="B35" s="179" t="s">
        <v>418</v>
      </c>
      <c r="C35" s="174">
        <v>37.04</v>
      </c>
      <c r="D35" s="174">
        <v>35.090000000000003</v>
      </c>
      <c r="E35" s="174">
        <f t="shared" si="0"/>
        <v>1.9499999999999957</v>
      </c>
      <c r="F35" s="73" t="s">
        <v>122</v>
      </c>
    </row>
    <row r="36" spans="2:6" ht="15" x14ac:dyDescent="0.25">
      <c r="B36" s="190" t="s">
        <v>67</v>
      </c>
      <c r="C36" s="191">
        <v>35.83</v>
      </c>
      <c r="D36" s="191">
        <v>34.53</v>
      </c>
      <c r="E36" s="191">
        <f t="shared" si="0"/>
        <v>1.2999999999999972</v>
      </c>
      <c r="F36" s="73" t="s">
        <v>122</v>
      </c>
    </row>
    <row r="37" spans="2:6" ht="15" x14ac:dyDescent="0.25">
      <c r="B37" s="190" t="s">
        <v>68</v>
      </c>
      <c r="C37" s="191">
        <v>35.69</v>
      </c>
      <c r="D37" s="191">
        <v>34.299999999999997</v>
      </c>
      <c r="E37" s="191">
        <f t="shared" si="0"/>
        <v>1.3900000000000006</v>
      </c>
      <c r="F37" s="73" t="s">
        <v>122</v>
      </c>
    </row>
    <row r="38" spans="2:6" ht="15" x14ac:dyDescent="0.25">
      <c r="B38" s="190" t="s">
        <v>69</v>
      </c>
      <c r="C38" s="191">
        <v>35.729999999999997</v>
      </c>
      <c r="D38" s="191">
        <v>34</v>
      </c>
      <c r="E38" s="191">
        <f t="shared" si="0"/>
        <v>1.7299999999999969</v>
      </c>
      <c r="F38" s="73" t="s">
        <v>122</v>
      </c>
    </row>
    <row r="39" spans="2:6" ht="15" x14ac:dyDescent="0.25">
      <c r="B39" s="190" t="s">
        <v>70</v>
      </c>
      <c r="C39" s="191">
        <v>35.47</v>
      </c>
      <c r="D39" s="191">
        <v>33.700000000000003</v>
      </c>
      <c r="E39" s="191">
        <f t="shared" si="0"/>
        <v>1.769999999999996</v>
      </c>
      <c r="F39" s="73" t="s">
        <v>122</v>
      </c>
    </row>
    <row r="40" spans="2:6" ht="15" x14ac:dyDescent="0.25">
      <c r="B40" s="190" t="s">
        <v>71</v>
      </c>
      <c r="C40" s="191">
        <v>35.51</v>
      </c>
      <c r="D40" s="191">
        <v>33.57</v>
      </c>
      <c r="E40" s="191">
        <f t="shared" si="0"/>
        <v>1.9399999999999977</v>
      </c>
      <c r="F40" s="73" t="s">
        <v>122</v>
      </c>
    </row>
    <row r="41" spans="2:6" ht="15" x14ac:dyDescent="0.25">
      <c r="B41" s="190" t="s">
        <v>72</v>
      </c>
      <c r="C41" s="191">
        <v>36.409999999999997</v>
      </c>
      <c r="D41" s="191">
        <v>34.619999999999997</v>
      </c>
      <c r="E41" s="191">
        <f t="shared" si="0"/>
        <v>1.7899999999999991</v>
      </c>
      <c r="F41" s="73" t="s">
        <v>122</v>
      </c>
    </row>
    <row r="42" spans="2:6" ht="15" x14ac:dyDescent="0.25">
      <c r="B42" s="190" t="s">
        <v>73</v>
      </c>
      <c r="C42" s="191">
        <v>35.909999999999997</v>
      </c>
      <c r="D42" s="191">
        <v>33.99</v>
      </c>
      <c r="E42" s="191">
        <f t="shared" si="0"/>
        <v>1.9199999999999946</v>
      </c>
      <c r="F42" s="73" t="s">
        <v>122</v>
      </c>
    </row>
    <row r="43" spans="2:6" ht="15" x14ac:dyDescent="0.25">
      <c r="B43" s="190" t="s">
        <v>419</v>
      </c>
      <c r="C43" s="191">
        <v>36.130000000000003</v>
      </c>
      <c r="D43" s="191">
        <v>34.78</v>
      </c>
      <c r="E43" s="191">
        <f t="shared" si="0"/>
        <v>1.3500000000000014</v>
      </c>
      <c r="F43" s="73" t="s">
        <v>122</v>
      </c>
    </row>
    <row r="44" spans="2:6" ht="15" x14ac:dyDescent="0.25">
      <c r="B44" s="190" t="s">
        <v>74</v>
      </c>
      <c r="C44" s="191">
        <v>35.54</v>
      </c>
      <c r="D44" s="191">
        <v>33.450000000000003</v>
      </c>
      <c r="E44" s="191">
        <f t="shared" si="0"/>
        <v>2.0899999999999963</v>
      </c>
      <c r="F44" s="73" t="s">
        <v>122</v>
      </c>
    </row>
    <row r="45" spans="2:6" ht="15" x14ac:dyDescent="0.25">
      <c r="B45" s="190" t="s">
        <v>75</v>
      </c>
      <c r="C45" s="191">
        <v>34.51</v>
      </c>
      <c r="D45" s="191">
        <v>32.89</v>
      </c>
      <c r="E45" s="191">
        <f t="shared" si="0"/>
        <v>1.6199999999999974</v>
      </c>
      <c r="F45" s="73" t="s">
        <v>122</v>
      </c>
    </row>
    <row r="46" spans="2:6" ht="15" x14ac:dyDescent="0.25">
      <c r="B46" s="190" t="s">
        <v>76</v>
      </c>
      <c r="C46" s="191">
        <v>33.450000000000003</v>
      </c>
      <c r="D46" s="191">
        <v>31.87</v>
      </c>
      <c r="E46" s="191">
        <f t="shared" si="0"/>
        <v>1.5800000000000018</v>
      </c>
      <c r="F46" s="73" t="s">
        <v>122</v>
      </c>
    </row>
    <row r="47" spans="2:6" ht="15" x14ac:dyDescent="0.25">
      <c r="B47" s="190" t="s">
        <v>77</v>
      </c>
      <c r="C47" s="191">
        <v>32.53</v>
      </c>
      <c r="D47" s="191">
        <v>30.2</v>
      </c>
      <c r="E47" s="191">
        <f t="shared" si="0"/>
        <v>2.3300000000000018</v>
      </c>
      <c r="F47" s="73" t="s">
        <v>122</v>
      </c>
    </row>
    <row r="48" spans="2:6" ht="15" x14ac:dyDescent="0.25">
      <c r="B48" s="190" t="s">
        <v>78</v>
      </c>
      <c r="C48" s="191">
        <v>34.880000000000003</v>
      </c>
      <c r="D48" s="191">
        <v>33.51</v>
      </c>
      <c r="E48" s="191">
        <f t="shared" si="0"/>
        <v>1.3700000000000045</v>
      </c>
      <c r="F48" s="73" t="s">
        <v>122</v>
      </c>
    </row>
    <row r="49" spans="2:6" x14ac:dyDescent="0.3">
      <c r="B49" s="190" t="s">
        <v>79</v>
      </c>
      <c r="C49" s="191">
        <v>33.270000000000003</v>
      </c>
      <c r="D49" s="191">
        <v>31.9</v>
      </c>
      <c r="E49" s="191">
        <f t="shared" si="0"/>
        <v>1.3700000000000045</v>
      </c>
      <c r="F49" s="73" t="s">
        <v>122</v>
      </c>
    </row>
    <row r="50" spans="2:6" x14ac:dyDescent="0.3">
      <c r="B50" s="190" t="s">
        <v>420</v>
      </c>
      <c r="C50" s="191">
        <v>35.19</v>
      </c>
      <c r="D50" s="191">
        <v>33.99</v>
      </c>
      <c r="E50" s="191">
        <f t="shared" si="0"/>
        <v>1.1999999999999957</v>
      </c>
      <c r="F50" s="73" t="s">
        <v>122</v>
      </c>
    </row>
    <row r="51" spans="2:6" x14ac:dyDescent="0.3">
      <c r="B51" s="190" t="s">
        <v>80</v>
      </c>
      <c r="C51" s="191">
        <v>34.76</v>
      </c>
      <c r="D51" s="191">
        <v>32.75</v>
      </c>
      <c r="E51" s="191">
        <f t="shared" si="0"/>
        <v>2.009999999999998</v>
      </c>
      <c r="F51" s="73" t="s">
        <v>122</v>
      </c>
    </row>
    <row r="52" spans="2:6" x14ac:dyDescent="0.3">
      <c r="B52" s="190" t="s">
        <v>81</v>
      </c>
      <c r="C52" s="191">
        <v>34.49</v>
      </c>
      <c r="D52" s="191">
        <v>32.65</v>
      </c>
      <c r="E52" s="191">
        <f t="shared" si="0"/>
        <v>1.8400000000000034</v>
      </c>
      <c r="F52" s="73" t="s">
        <v>122</v>
      </c>
    </row>
    <row r="53" spans="2:6" x14ac:dyDescent="0.3">
      <c r="B53" s="190" t="s">
        <v>82</v>
      </c>
      <c r="C53" s="191">
        <v>35.340000000000003</v>
      </c>
      <c r="D53" s="191">
        <v>34.14</v>
      </c>
      <c r="E53" s="191">
        <f t="shared" si="0"/>
        <v>1.2000000000000028</v>
      </c>
      <c r="F53" s="73" t="s">
        <v>122</v>
      </c>
    </row>
    <row r="54" spans="2:6" x14ac:dyDescent="0.3">
      <c r="B54" s="190" t="s">
        <v>83</v>
      </c>
      <c r="C54" s="191">
        <v>34.43</v>
      </c>
      <c r="D54" s="191">
        <v>32.520000000000003</v>
      </c>
      <c r="E54" s="191">
        <f t="shared" si="0"/>
        <v>1.9099999999999966</v>
      </c>
      <c r="F54" s="73" t="s">
        <v>122</v>
      </c>
    </row>
    <row r="55" spans="2:6" x14ac:dyDescent="0.3">
      <c r="B55" s="180" t="s">
        <v>84</v>
      </c>
      <c r="C55" s="181">
        <v>34.22</v>
      </c>
      <c r="D55" s="181">
        <v>32.4</v>
      </c>
      <c r="E55" s="181">
        <f t="shared" si="0"/>
        <v>1.8200000000000003</v>
      </c>
      <c r="F55" s="182" t="s">
        <v>123</v>
      </c>
    </row>
    <row r="56" spans="2:6" x14ac:dyDescent="0.3">
      <c r="B56" s="188" t="s">
        <v>461</v>
      </c>
      <c r="C56" s="189">
        <v>34.21</v>
      </c>
      <c r="D56" s="189">
        <v>32.49</v>
      </c>
      <c r="E56" s="189">
        <f t="shared" si="0"/>
        <v>1.7199999999999989</v>
      </c>
      <c r="F56" s="47" t="s">
        <v>127</v>
      </c>
    </row>
    <row r="57" spans="2:6" x14ac:dyDescent="0.3">
      <c r="B57" s="180" t="s">
        <v>421</v>
      </c>
      <c r="C57" s="181">
        <v>34.25</v>
      </c>
      <c r="D57" s="181">
        <v>33.049999999999997</v>
      </c>
      <c r="E57" s="181">
        <f t="shared" si="0"/>
        <v>1.2000000000000028</v>
      </c>
      <c r="F57" s="182" t="s">
        <v>123</v>
      </c>
    </row>
    <row r="58" spans="2:6" x14ac:dyDescent="0.3">
      <c r="B58" s="188" t="s">
        <v>128</v>
      </c>
      <c r="C58" s="189">
        <v>34.229999999999997</v>
      </c>
      <c r="D58" s="189">
        <v>33.03</v>
      </c>
      <c r="E58" s="189">
        <f t="shared" si="0"/>
        <v>1.1999999999999957</v>
      </c>
      <c r="F58" s="47" t="s">
        <v>127</v>
      </c>
    </row>
    <row r="59" spans="2:6" x14ac:dyDescent="0.3">
      <c r="B59" s="180" t="s">
        <v>85</v>
      </c>
      <c r="C59" s="181">
        <v>34.71</v>
      </c>
      <c r="D59" s="181">
        <v>32.26</v>
      </c>
      <c r="E59" s="181">
        <f t="shared" si="0"/>
        <v>2.4500000000000028</v>
      </c>
      <c r="F59" s="182" t="s">
        <v>123</v>
      </c>
    </row>
    <row r="60" spans="2:6" x14ac:dyDescent="0.3">
      <c r="B60" s="183" t="s">
        <v>462</v>
      </c>
      <c r="C60" s="177">
        <v>34.72</v>
      </c>
      <c r="D60" s="177">
        <v>32.4</v>
      </c>
      <c r="E60" s="177">
        <f t="shared" si="0"/>
        <v>2.3200000000000003</v>
      </c>
      <c r="F60" s="178" t="s">
        <v>126</v>
      </c>
    </row>
    <row r="61" spans="2:6" x14ac:dyDescent="0.3">
      <c r="B61" s="180" t="s">
        <v>422</v>
      </c>
      <c r="C61" s="181">
        <v>35.380000000000003</v>
      </c>
      <c r="D61" s="181">
        <v>34.18</v>
      </c>
      <c r="E61" s="181">
        <f t="shared" si="0"/>
        <v>1.2000000000000028</v>
      </c>
      <c r="F61" s="182" t="s">
        <v>123</v>
      </c>
    </row>
    <row r="62" spans="2:6" x14ac:dyDescent="0.3">
      <c r="B62" s="188" t="s">
        <v>422</v>
      </c>
      <c r="C62" s="189">
        <v>35.369999999999997</v>
      </c>
      <c r="D62" s="189">
        <v>34.17</v>
      </c>
      <c r="E62" s="189">
        <f t="shared" si="0"/>
        <v>1.1999999999999957</v>
      </c>
      <c r="F62" s="47" t="s">
        <v>127</v>
      </c>
    </row>
    <row r="63" spans="2:6" x14ac:dyDescent="0.3">
      <c r="B63" s="190" t="s">
        <v>423</v>
      </c>
      <c r="C63" s="191">
        <v>34.92</v>
      </c>
      <c r="D63" s="191">
        <v>32.130000000000003</v>
      </c>
      <c r="E63" s="191">
        <f t="shared" si="0"/>
        <v>2.7899999999999991</v>
      </c>
      <c r="F63" s="73" t="s">
        <v>122</v>
      </c>
    </row>
    <row r="64" spans="2:6" x14ac:dyDescent="0.3">
      <c r="B64" s="190" t="s">
        <v>86</v>
      </c>
      <c r="C64" s="191">
        <v>34.42</v>
      </c>
      <c r="D64" s="191">
        <v>32.01</v>
      </c>
      <c r="E64" s="191">
        <f t="shared" si="0"/>
        <v>2.4100000000000037</v>
      </c>
      <c r="F64" s="73" t="s">
        <v>122</v>
      </c>
    </row>
    <row r="65" spans="2:6" x14ac:dyDescent="0.3">
      <c r="B65" s="190" t="s">
        <v>424</v>
      </c>
      <c r="C65" s="191">
        <v>33.79</v>
      </c>
      <c r="D65" s="191">
        <v>31.88</v>
      </c>
      <c r="E65" s="191">
        <f t="shared" si="0"/>
        <v>1.9100000000000001</v>
      </c>
      <c r="F65" s="73" t="s">
        <v>122</v>
      </c>
    </row>
    <row r="66" spans="2:6" x14ac:dyDescent="0.3">
      <c r="B66" s="190" t="s">
        <v>87</v>
      </c>
      <c r="C66" s="191">
        <v>34.950000000000003</v>
      </c>
      <c r="D66" s="191">
        <v>33.71</v>
      </c>
      <c r="E66" s="191">
        <f t="shared" si="0"/>
        <v>1.240000000000002</v>
      </c>
      <c r="F66" s="73" t="s">
        <v>122</v>
      </c>
    </row>
    <row r="67" spans="2:6" x14ac:dyDescent="0.3">
      <c r="B67" s="190" t="s">
        <v>88</v>
      </c>
      <c r="C67" s="191">
        <v>34.409999999999997</v>
      </c>
      <c r="D67" s="191">
        <v>32.619999999999997</v>
      </c>
      <c r="E67" s="191">
        <f t="shared" si="0"/>
        <v>1.7899999999999991</v>
      </c>
      <c r="F67" s="73" t="s">
        <v>122</v>
      </c>
    </row>
    <row r="68" spans="2:6" x14ac:dyDescent="0.3">
      <c r="B68" s="190" t="s">
        <v>425</v>
      </c>
      <c r="C68" s="191">
        <v>33.9</v>
      </c>
      <c r="D68" s="191">
        <v>31.7</v>
      </c>
      <c r="E68" s="191">
        <f t="shared" si="0"/>
        <v>2.1999999999999993</v>
      </c>
      <c r="F68" s="73" t="s">
        <v>122</v>
      </c>
    </row>
    <row r="69" spans="2:6" x14ac:dyDescent="0.3">
      <c r="B69" s="179" t="s">
        <v>426</v>
      </c>
      <c r="C69" s="174">
        <v>33.549999999999997</v>
      </c>
      <c r="D69" s="174">
        <v>31.38</v>
      </c>
      <c r="E69" s="174">
        <f t="shared" si="0"/>
        <v>2.1699999999999982</v>
      </c>
      <c r="F69" s="73" t="s">
        <v>122</v>
      </c>
    </row>
    <row r="70" spans="2:6" x14ac:dyDescent="0.3">
      <c r="B70" s="192" t="s">
        <v>427</v>
      </c>
      <c r="C70" s="193">
        <v>33.200000000000003</v>
      </c>
      <c r="D70" s="193">
        <v>31.24</v>
      </c>
      <c r="E70" s="174">
        <f t="shared" si="0"/>
        <v>1.9600000000000044</v>
      </c>
      <c r="F70" s="73" t="s">
        <v>122</v>
      </c>
    </row>
    <row r="71" spans="2:6" x14ac:dyDescent="0.3">
      <c r="B71" s="173" t="s">
        <v>428</v>
      </c>
      <c r="C71" s="174">
        <v>33.44</v>
      </c>
      <c r="D71" s="174">
        <v>32.24</v>
      </c>
      <c r="E71" s="174">
        <f t="shared" si="0"/>
        <v>1.1999999999999957</v>
      </c>
      <c r="F71" s="73" t="s">
        <v>122</v>
      </c>
    </row>
    <row r="72" spans="2:6" x14ac:dyDescent="0.3">
      <c r="B72" s="194" t="s">
        <v>429</v>
      </c>
      <c r="C72" s="189">
        <v>33.630000000000003</v>
      </c>
      <c r="D72" s="189">
        <v>32.39</v>
      </c>
      <c r="E72" s="189">
        <f t="shared" si="0"/>
        <v>1.240000000000002</v>
      </c>
      <c r="F72" s="47" t="s">
        <v>127</v>
      </c>
    </row>
    <row r="73" spans="2:6" x14ac:dyDescent="0.3">
      <c r="B73" s="195" t="s">
        <v>89</v>
      </c>
      <c r="C73" s="191">
        <v>33.17</v>
      </c>
      <c r="D73" s="191">
        <v>31.11</v>
      </c>
      <c r="E73" s="191">
        <f t="shared" si="0"/>
        <v>2.0600000000000023</v>
      </c>
      <c r="F73" s="73" t="s">
        <v>122</v>
      </c>
    </row>
    <row r="74" spans="2:6" x14ac:dyDescent="0.3">
      <c r="B74" s="195" t="s">
        <v>90</v>
      </c>
      <c r="C74" s="191">
        <v>33.049999999999997</v>
      </c>
      <c r="D74" s="191">
        <v>30.97</v>
      </c>
      <c r="E74" s="191">
        <f t="shared" si="0"/>
        <v>2.0799999999999983</v>
      </c>
      <c r="F74" s="73" t="s">
        <v>122</v>
      </c>
    </row>
    <row r="75" spans="2:6" x14ac:dyDescent="0.3">
      <c r="B75" s="195" t="s">
        <v>430</v>
      </c>
      <c r="C75" s="191">
        <v>33.119999999999997</v>
      </c>
      <c r="D75" s="191">
        <v>30.87</v>
      </c>
      <c r="E75" s="191">
        <f t="shared" ref="E75:E105" si="1">C75-D75</f>
        <v>2.2499999999999964</v>
      </c>
      <c r="F75" s="73" t="s">
        <v>122</v>
      </c>
    </row>
    <row r="76" spans="2:6" x14ac:dyDescent="0.3">
      <c r="B76" s="195" t="s">
        <v>91</v>
      </c>
      <c r="C76" s="191">
        <v>33.46</v>
      </c>
      <c r="D76" s="191">
        <v>30.75</v>
      </c>
      <c r="E76" s="191">
        <f t="shared" si="1"/>
        <v>2.7100000000000009</v>
      </c>
      <c r="F76" s="73" t="s">
        <v>122</v>
      </c>
    </row>
    <row r="77" spans="2:6" x14ac:dyDescent="0.3">
      <c r="B77" s="195" t="s">
        <v>92</v>
      </c>
      <c r="C77" s="191">
        <v>32.770000000000003</v>
      </c>
      <c r="D77" s="191">
        <v>30.6</v>
      </c>
      <c r="E77" s="191">
        <f t="shared" si="1"/>
        <v>2.1700000000000017</v>
      </c>
      <c r="F77" s="73" t="s">
        <v>122</v>
      </c>
    </row>
    <row r="78" spans="2:6" x14ac:dyDescent="0.3">
      <c r="B78" s="195" t="s">
        <v>431</v>
      </c>
      <c r="C78" s="191">
        <v>33.44</v>
      </c>
      <c r="D78" s="191">
        <v>32.130000000000003</v>
      </c>
      <c r="E78" s="191">
        <f t="shared" si="1"/>
        <v>1.3099999999999952</v>
      </c>
      <c r="F78" s="73" t="s">
        <v>122</v>
      </c>
    </row>
    <row r="79" spans="2:6" x14ac:dyDescent="0.3">
      <c r="B79" s="195" t="s">
        <v>93</v>
      </c>
      <c r="C79" s="191">
        <v>34.770000000000003</v>
      </c>
      <c r="D79" s="191">
        <v>33.57</v>
      </c>
      <c r="E79" s="191">
        <f t="shared" si="1"/>
        <v>1.2000000000000028</v>
      </c>
      <c r="F79" s="73" t="s">
        <v>122</v>
      </c>
    </row>
    <row r="80" spans="2:6" x14ac:dyDescent="0.3">
      <c r="B80" s="195" t="s">
        <v>94</v>
      </c>
      <c r="C80" s="191">
        <v>34.6</v>
      </c>
      <c r="D80" s="191">
        <v>33.14</v>
      </c>
      <c r="E80" s="191">
        <f t="shared" si="1"/>
        <v>1.4600000000000009</v>
      </c>
      <c r="F80" s="73" t="s">
        <v>122</v>
      </c>
    </row>
    <row r="81" spans="2:6" x14ac:dyDescent="0.3">
      <c r="B81" s="195" t="s">
        <v>95</v>
      </c>
      <c r="C81" s="191">
        <v>34.83</v>
      </c>
      <c r="D81" s="191">
        <v>32.880000000000003</v>
      </c>
      <c r="E81" s="191">
        <f t="shared" si="1"/>
        <v>1.9499999999999957</v>
      </c>
      <c r="F81" s="73" t="s">
        <v>122</v>
      </c>
    </row>
    <row r="82" spans="2:6" x14ac:dyDescent="0.3">
      <c r="B82" s="196" t="s">
        <v>96</v>
      </c>
      <c r="C82" s="181">
        <v>34.51</v>
      </c>
      <c r="D82" s="181">
        <v>32.520000000000003</v>
      </c>
      <c r="E82" s="181">
        <f t="shared" si="1"/>
        <v>1.9899999999999949</v>
      </c>
      <c r="F82" s="182" t="s">
        <v>123</v>
      </c>
    </row>
    <row r="83" spans="2:6" x14ac:dyDescent="0.3">
      <c r="B83" s="197" t="s">
        <v>96</v>
      </c>
      <c r="C83" s="177">
        <v>34.51</v>
      </c>
      <c r="D83" s="177">
        <v>32.520000000000003</v>
      </c>
      <c r="E83" s="177">
        <f t="shared" si="1"/>
        <v>1.9899999999999949</v>
      </c>
      <c r="F83" s="178" t="s">
        <v>126</v>
      </c>
    </row>
    <row r="84" spans="2:6" x14ac:dyDescent="0.3">
      <c r="B84" s="197" t="s">
        <v>432</v>
      </c>
      <c r="C84" s="177">
        <v>34.5</v>
      </c>
      <c r="D84" s="177">
        <v>32.5</v>
      </c>
      <c r="E84" s="177">
        <f t="shared" si="1"/>
        <v>2</v>
      </c>
      <c r="F84" s="178" t="s">
        <v>126</v>
      </c>
    </row>
    <row r="85" spans="2:6" x14ac:dyDescent="0.3">
      <c r="B85" s="173" t="s">
        <v>97</v>
      </c>
      <c r="C85" s="174">
        <v>34.21</v>
      </c>
      <c r="D85" s="174">
        <v>32.24</v>
      </c>
      <c r="E85" s="174">
        <f t="shared" si="1"/>
        <v>1.9699999999999989</v>
      </c>
      <c r="F85" s="73" t="s">
        <v>122</v>
      </c>
    </row>
    <row r="86" spans="2:6" x14ac:dyDescent="0.3">
      <c r="B86" s="173" t="s">
        <v>98</v>
      </c>
      <c r="C86" s="174">
        <v>33.909999999999997</v>
      </c>
      <c r="D86" s="174">
        <v>32.01</v>
      </c>
      <c r="E86" s="174">
        <f t="shared" si="1"/>
        <v>1.8999999999999986</v>
      </c>
      <c r="F86" s="73" t="s">
        <v>122</v>
      </c>
    </row>
    <row r="87" spans="2:6" x14ac:dyDescent="0.3">
      <c r="B87" s="173" t="s">
        <v>99</v>
      </c>
      <c r="C87" s="174">
        <v>33.380000000000003</v>
      </c>
      <c r="D87" s="174">
        <v>31.71</v>
      </c>
      <c r="E87" s="174">
        <f t="shared" si="1"/>
        <v>1.6700000000000017</v>
      </c>
      <c r="F87" s="73" t="s">
        <v>122</v>
      </c>
    </row>
    <row r="88" spans="2:6" x14ac:dyDescent="0.3">
      <c r="B88" s="173" t="s">
        <v>100</v>
      </c>
      <c r="C88" s="174">
        <v>32.979999999999997</v>
      </c>
      <c r="D88" s="174">
        <v>31.34</v>
      </c>
      <c r="E88" s="174">
        <f t="shared" si="1"/>
        <v>1.639999999999997</v>
      </c>
      <c r="F88" s="73" t="s">
        <v>122</v>
      </c>
    </row>
    <row r="89" spans="2:6" x14ac:dyDescent="0.3">
      <c r="B89" s="196" t="s">
        <v>433</v>
      </c>
      <c r="C89" s="181">
        <v>32.85</v>
      </c>
      <c r="D89" s="181">
        <v>31.19</v>
      </c>
      <c r="E89" s="181">
        <f t="shared" si="1"/>
        <v>1.6600000000000001</v>
      </c>
      <c r="F89" s="182" t="s">
        <v>123</v>
      </c>
    </row>
    <row r="90" spans="2:6" x14ac:dyDescent="0.3">
      <c r="B90" s="173" t="s">
        <v>101</v>
      </c>
      <c r="C90" s="174">
        <v>32.75</v>
      </c>
      <c r="D90" s="174">
        <v>31.07</v>
      </c>
      <c r="E90" s="174">
        <f t="shared" si="1"/>
        <v>1.6799999999999997</v>
      </c>
      <c r="F90" s="73" t="s">
        <v>122</v>
      </c>
    </row>
    <row r="91" spans="2:6" x14ac:dyDescent="0.3">
      <c r="B91" s="173" t="s">
        <v>102</v>
      </c>
      <c r="C91" s="174">
        <v>32.71</v>
      </c>
      <c r="D91" s="174">
        <v>30.99</v>
      </c>
      <c r="E91" s="174">
        <f t="shared" si="1"/>
        <v>1.7200000000000024</v>
      </c>
      <c r="F91" s="73" t="s">
        <v>122</v>
      </c>
    </row>
    <row r="92" spans="2:6" x14ac:dyDescent="0.3">
      <c r="B92" s="173" t="s">
        <v>434</v>
      </c>
      <c r="C92" s="174">
        <v>32.659999999999997</v>
      </c>
      <c r="D92" s="174">
        <v>30.83</v>
      </c>
      <c r="E92" s="174">
        <f t="shared" si="1"/>
        <v>1.8299999999999983</v>
      </c>
      <c r="F92" s="73" t="s">
        <v>122</v>
      </c>
    </row>
    <row r="93" spans="2:6" x14ac:dyDescent="0.3">
      <c r="B93" s="173" t="s">
        <v>103</v>
      </c>
      <c r="C93" s="174">
        <v>32.35</v>
      </c>
      <c r="D93" s="174">
        <v>30.33</v>
      </c>
      <c r="E93" s="174">
        <f t="shared" si="1"/>
        <v>2.0200000000000031</v>
      </c>
      <c r="F93" s="73" t="s">
        <v>122</v>
      </c>
    </row>
    <row r="94" spans="2:6" x14ac:dyDescent="0.3">
      <c r="B94" s="195" t="s">
        <v>104</v>
      </c>
      <c r="C94" s="191">
        <v>32.6</v>
      </c>
      <c r="D94" s="191">
        <v>31.4</v>
      </c>
      <c r="E94" s="191">
        <f t="shared" si="1"/>
        <v>1.2000000000000028</v>
      </c>
      <c r="F94" s="73" t="s">
        <v>122</v>
      </c>
    </row>
    <row r="95" spans="2:6" x14ac:dyDescent="0.3">
      <c r="B95" s="173" t="s">
        <v>105</v>
      </c>
      <c r="C95" s="174">
        <v>32.380000000000003</v>
      </c>
      <c r="D95" s="174">
        <v>30.73</v>
      </c>
      <c r="E95" s="174">
        <f t="shared" si="1"/>
        <v>1.6500000000000021</v>
      </c>
      <c r="F95" s="73" t="s">
        <v>122</v>
      </c>
    </row>
    <row r="96" spans="2:6" x14ac:dyDescent="0.3">
      <c r="B96" s="173" t="s">
        <v>435</v>
      </c>
      <c r="C96" s="174">
        <v>32.22</v>
      </c>
      <c r="D96" s="174">
        <v>31.02</v>
      </c>
      <c r="E96" s="174">
        <f t="shared" si="1"/>
        <v>1.1999999999999993</v>
      </c>
      <c r="F96" s="73" t="s">
        <v>122</v>
      </c>
    </row>
    <row r="97" spans="2:6" x14ac:dyDescent="0.3">
      <c r="B97" s="196" t="s">
        <v>115</v>
      </c>
      <c r="C97" s="181">
        <v>34.54</v>
      </c>
      <c r="D97" s="181">
        <v>33.340000000000003</v>
      </c>
      <c r="E97" s="181">
        <f t="shared" si="1"/>
        <v>1.1999999999999957</v>
      </c>
      <c r="F97" s="182" t="s">
        <v>123</v>
      </c>
    </row>
    <row r="98" spans="2:6" x14ac:dyDescent="0.3">
      <c r="B98" s="194" t="s">
        <v>115</v>
      </c>
      <c r="C98" s="189">
        <v>34.54</v>
      </c>
      <c r="D98" s="189">
        <v>33.340000000000003</v>
      </c>
      <c r="E98" s="189">
        <f t="shared" si="1"/>
        <v>1.1999999999999957</v>
      </c>
      <c r="F98" s="47" t="s">
        <v>127</v>
      </c>
    </row>
    <row r="99" spans="2:6" x14ac:dyDescent="0.3">
      <c r="B99" s="173" t="s">
        <v>116</v>
      </c>
      <c r="C99" s="174">
        <v>34.72</v>
      </c>
      <c r="D99" s="174">
        <v>33.090000000000003</v>
      </c>
      <c r="E99" s="174">
        <f t="shared" si="1"/>
        <v>1.6299999999999955</v>
      </c>
      <c r="F99" s="73" t="s">
        <v>122</v>
      </c>
    </row>
    <row r="100" spans="2:6" x14ac:dyDescent="0.3">
      <c r="B100" s="195" t="s">
        <v>117</v>
      </c>
      <c r="C100" s="191">
        <v>34.590000000000003</v>
      </c>
      <c r="D100" s="191">
        <v>32.85</v>
      </c>
      <c r="E100" s="191">
        <f t="shared" si="1"/>
        <v>1.740000000000002</v>
      </c>
      <c r="F100" s="73" t="s">
        <v>122</v>
      </c>
    </row>
    <row r="101" spans="2:6" x14ac:dyDescent="0.3">
      <c r="B101" s="194" t="s">
        <v>436</v>
      </c>
      <c r="C101" s="189">
        <v>31.94</v>
      </c>
      <c r="D101" s="189">
        <v>30.1</v>
      </c>
      <c r="E101" s="189">
        <f t="shared" si="1"/>
        <v>1.8399999999999999</v>
      </c>
      <c r="F101" s="47" t="s">
        <v>127</v>
      </c>
    </row>
    <row r="102" spans="2:6" x14ac:dyDescent="0.3">
      <c r="B102" s="198" t="s">
        <v>118</v>
      </c>
      <c r="C102" s="199">
        <v>32.1</v>
      </c>
      <c r="D102" s="199">
        <v>30.9</v>
      </c>
      <c r="E102" s="189">
        <f t="shared" si="1"/>
        <v>1.2000000000000028</v>
      </c>
      <c r="F102" s="47" t="s">
        <v>127</v>
      </c>
    </row>
    <row r="103" spans="2:6" x14ac:dyDescent="0.3">
      <c r="B103" s="23" t="s">
        <v>532</v>
      </c>
      <c r="C103" s="23">
        <v>32.1</v>
      </c>
      <c r="D103" s="23">
        <v>29.41</v>
      </c>
      <c r="E103" s="174">
        <f t="shared" si="1"/>
        <v>2.6900000000000013</v>
      </c>
      <c r="F103" t="s">
        <v>122</v>
      </c>
    </row>
    <row r="104" spans="2:6" x14ac:dyDescent="0.3">
      <c r="B104" s="23" t="s">
        <v>530</v>
      </c>
      <c r="C104" s="23">
        <v>33.03</v>
      </c>
      <c r="D104" s="23">
        <v>31.53</v>
      </c>
      <c r="E104" s="174">
        <f t="shared" si="1"/>
        <v>1.5</v>
      </c>
      <c r="F104" t="s">
        <v>122</v>
      </c>
    </row>
    <row r="105" spans="2:6" x14ac:dyDescent="0.3">
      <c r="B105" s="23" t="s">
        <v>531</v>
      </c>
      <c r="C105" s="23">
        <v>31.81</v>
      </c>
      <c r="D105" s="23">
        <v>28.83</v>
      </c>
      <c r="E105" s="174">
        <f t="shared" si="1"/>
        <v>2.9800000000000004</v>
      </c>
      <c r="F105" t="s">
        <v>122</v>
      </c>
    </row>
    <row r="106" spans="2:6" x14ac:dyDescent="0.3">
      <c r="B106" s="185" t="s">
        <v>119</v>
      </c>
      <c r="C106" s="200">
        <v>34.049999999999997</v>
      </c>
      <c r="D106" s="200">
        <v>33.049999999999997</v>
      </c>
      <c r="E106" s="181">
        <f>C106-D106</f>
        <v>1</v>
      </c>
      <c r="F106" s="182" t="s">
        <v>123</v>
      </c>
    </row>
  </sheetData>
  <mergeCells count="1">
    <mergeCell ref="B1:F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126"/>
  <sheetViews>
    <sheetView topLeftCell="A104" zoomScale="90" zoomScaleNormal="90" workbookViewId="0">
      <selection activeCell="F109" sqref="F109:K123"/>
    </sheetView>
  </sheetViews>
  <sheetFormatPr baseColWidth="10" defaultRowHeight="14.4" x14ac:dyDescent="0.3"/>
  <cols>
    <col min="5" max="5" width="10.33203125" customWidth="1"/>
    <col min="23" max="23" width="0" hidden="1" customWidth="1"/>
    <col min="27" max="41" width="0" hidden="1" customWidth="1"/>
  </cols>
  <sheetData>
    <row r="1" spans="2:41" ht="15.75" thickBot="1" x14ac:dyDescent="0.3">
      <c r="F1" s="461" t="s">
        <v>5</v>
      </c>
      <c r="G1" s="456"/>
      <c r="H1" s="456"/>
      <c r="I1" s="456"/>
      <c r="J1" s="461" t="s">
        <v>6</v>
      </c>
      <c r="K1" s="456"/>
      <c r="L1" s="456"/>
      <c r="M1" s="456"/>
      <c r="N1" s="461" t="s">
        <v>7</v>
      </c>
      <c r="O1" s="456"/>
      <c r="P1" s="456"/>
      <c r="Q1" s="456"/>
      <c r="R1" s="453" t="s">
        <v>8</v>
      </c>
      <c r="S1" s="454"/>
      <c r="T1" s="454"/>
      <c r="U1" s="455"/>
      <c r="V1" s="453" t="s">
        <v>9</v>
      </c>
      <c r="W1" s="454"/>
      <c r="X1" s="454"/>
      <c r="Y1" s="455"/>
      <c r="Z1" s="453" t="s">
        <v>10</v>
      </c>
      <c r="AA1" s="454"/>
      <c r="AB1" s="454"/>
      <c r="AC1" s="462"/>
      <c r="AD1" s="453" t="s">
        <v>11</v>
      </c>
      <c r="AE1" s="454"/>
      <c r="AF1" s="454"/>
      <c r="AG1" s="455"/>
      <c r="AH1" s="453" t="s">
        <v>12</v>
      </c>
      <c r="AI1" s="456"/>
      <c r="AJ1" s="456"/>
      <c r="AK1" s="457"/>
      <c r="AL1" s="458" t="s">
        <v>13</v>
      </c>
      <c r="AM1" s="459"/>
      <c r="AN1" s="459"/>
      <c r="AO1" s="460"/>
    </row>
    <row r="2" spans="2:41" ht="15.75" thickBot="1" x14ac:dyDescent="0.3">
      <c r="B2" s="439" t="s">
        <v>2</v>
      </c>
      <c r="C2" s="440" t="s">
        <v>0</v>
      </c>
      <c r="D2" s="441" t="s">
        <v>1</v>
      </c>
      <c r="F2" s="442" t="s">
        <v>14</v>
      </c>
      <c r="G2" s="443" t="s">
        <v>129</v>
      </c>
      <c r="H2" s="444" t="s">
        <v>130</v>
      </c>
      <c r="I2" s="445" t="s">
        <v>15</v>
      </c>
      <c r="J2" s="442" t="s">
        <v>14</v>
      </c>
      <c r="K2" s="443" t="s">
        <v>124</v>
      </c>
      <c r="L2" s="444" t="s">
        <v>125</v>
      </c>
      <c r="M2" s="445" t="s">
        <v>15</v>
      </c>
      <c r="N2" s="442" t="s">
        <v>14</v>
      </c>
      <c r="O2" s="443" t="s">
        <v>124</v>
      </c>
      <c r="P2" s="444" t="s">
        <v>125</v>
      </c>
      <c r="Q2" s="445" t="s">
        <v>15</v>
      </c>
      <c r="R2" s="442" t="s">
        <v>14</v>
      </c>
      <c r="S2" s="443" t="s">
        <v>124</v>
      </c>
      <c r="T2" s="444" t="s">
        <v>125</v>
      </c>
      <c r="U2" s="445" t="s">
        <v>15</v>
      </c>
      <c r="V2" s="442" t="s">
        <v>14</v>
      </c>
      <c r="W2" s="443" t="s">
        <v>124</v>
      </c>
      <c r="X2" s="444" t="s">
        <v>125</v>
      </c>
      <c r="Y2" s="445" t="s">
        <v>15</v>
      </c>
      <c r="Z2" s="442" t="s">
        <v>14</v>
      </c>
      <c r="AA2" s="443" t="s">
        <v>124</v>
      </c>
      <c r="AB2" s="444" t="s">
        <v>125</v>
      </c>
      <c r="AC2" s="446" t="s">
        <v>15</v>
      </c>
      <c r="AD2" s="4" t="s">
        <v>14</v>
      </c>
      <c r="AE2" s="22" t="s">
        <v>124</v>
      </c>
      <c r="AF2" s="5" t="s">
        <v>125</v>
      </c>
      <c r="AG2" s="6" t="s">
        <v>15</v>
      </c>
      <c r="AH2" s="4" t="s">
        <v>14</v>
      </c>
      <c r="AI2" s="22" t="s">
        <v>124</v>
      </c>
      <c r="AJ2" s="5" t="s">
        <v>125</v>
      </c>
      <c r="AK2" s="6" t="s">
        <v>15</v>
      </c>
      <c r="AL2" s="4" t="s">
        <v>14</v>
      </c>
      <c r="AM2" s="22" t="s">
        <v>124</v>
      </c>
      <c r="AN2" s="5" t="s">
        <v>125</v>
      </c>
      <c r="AO2" s="6" t="s">
        <v>15</v>
      </c>
    </row>
    <row r="3" spans="2:41" ht="15" x14ac:dyDescent="0.25">
      <c r="B3" s="436" t="s">
        <v>106</v>
      </c>
      <c r="C3" s="437">
        <v>1.1999999999999957</v>
      </c>
      <c r="D3" s="438" t="s">
        <v>122</v>
      </c>
      <c r="F3" s="31">
        <f t="shared" ref="F3:F66" si="0">IF(AND($C3&lt;=1.25,$D3="R")=TRUE,1,"-")</f>
        <v>1</v>
      </c>
      <c r="G3" s="32" t="str">
        <f>IF(AND($C3&lt;=1.25,$D3="S")=TRUE,1,"-")</f>
        <v>-</v>
      </c>
      <c r="H3" s="32" t="str">
        <f t="shared" ref="H3:H66" si="1">IF(AND($C3&lt;=1.25,$D3="A")=TRUE,1,"-")</f>
        <v>-</v>
      </c>
      <c r="I3" s="33" t="str">
        <f t="shared" ref="I3:I66" si="2">IF(AND($C3&lt;=1.25,$D3="P")=TRUE,1,"-")</f>
        <v>-</v>
      </c>
      <c r="J3" s="31" t="str">
        <f t="shared" ref="J3:J66" si="3">IF(AND(1.25&lt;$C3,$C3&lt;=1.5,$D3="R")=TRUE,1,"-")</f>
        <v>-</v>
      </c>
      <c r="K3" s="32" t="str">
        <f>IF(AND(1.25&lt;$C3,$C3&lt;=1.5,$D3="S")=TRUE,1,"-")</f>
        <v>-</v>
      </c>
      <c r="L3" s="32" t="str">
        <f t="shared" ref="L3:L66" si="4">IF(AND(1.25&lt;$C3,$C3&lt;=1.5,$D3="A")=TRUE,1,"-")</f>
        <v>-</v>
      </c>
      <c r="M3" s="33" t="str">
        <f t="shared" ref="M3:M66" si="5">IF(AND(1.25&lt;$C3,$C3&lt;=1.5,$D3="P")=TRUE,1,"-")</f>
        <v>-</v>
      </c>
      <c r="N3" s="31" t="str">
        <f t="shared" ref="N3:N66" si="6">IF(AND(1.5&lt;$C3,$C3&lt;=1.75,$D3="R")=TRUE,1,"-")</f>
        <v>-</v>
      </c>
      <c r="O3" s="32" t="str">
        <f>IF(AND(1.5&lt;$C3,$C3&lt;=1.75,$D3="S")=TRUE,1,"-")</f>
        <v>-</v>
      </c>
      <c r="P3" s="32" t="str">
        <f t="shared" ref="P3:P66" si="7">IF(AND(1.5&lt;$C3,$C3&lt;=1.75,$D3="A")=TRUE,1,"-")</f>
        <v>-</v>
      </c>
      <c r="Q3" s="33" t="str">
        <f t="shared" ref="Q3:Q66" si="8">IF(AND(1.5&lt;$C3,$C3&lt;=1.75,$D3="P")=TRUE,1,"-")</f>
        <v>-</v>
      </c>
      <c r="R3" s="31" t="str">
        <f t="shared" ref="R3:R66" si="9">IF(AND(1.75&lt;$C3,$C3&lt;=2,$D3="R")=TRUE,1,"-")</f>
        <v>-</v>
      </c>
      <c r="S3" s="32" t="str">
        <f>IF(AND(1.75&lt;$C3,$C3&lt;=2,$D3="S")=TRUE,1,"-")</f>
        <v>-</v>
      </c>
      <c r="T3" s="32" t="str">
        <f t="shared" ref="T3:T66" si="10">IF(AND(1.75&lt;$C3,$C3&lt;=2,$D3="A")=TRUE,1,"-")</f>
        <v>-</v>
      </c>
      <c r="U3" s="33" t="str">
        <f t="shared" ref="U3:U66" si="11">IF(AND(1.75&lt;$C3,$C3&lt;=2,$D3="P")=TRUE,1,"-")</f>
        <v>-</v>
      </c>
      <c r="V3" s="31" t="str">
        <f t="shared" ref="V3:V66" si="12">IF(AND(2&lt;$C3,$C3&lt;=2.5,$D3="R")=TRUE,1,"-")</f>
        <v>-</v>
      </c>
      <c r="W3" s="32" t="str">
        <f>IF(AND(2&lt;$C3,$C3&lt;=2.5,$D3="S")=TRUE,1,"-")</f>
        <v>-</v>
      </c>
      <c r="X3" s="32" t="str">
        <f t="shared" ref="X3:X66" si="13">IF(AND(2&lt;$C3,$C3&lt;=2.5,$D3="A")=TRUE,1,"-")</f>
        <v>-</v>
      </c>
      <c r="Y3" s="33" t="str">
        <f t="shared" ref="Y3:Y66" si="14">IF(AND(2&lt;$C3,$C3&lt;=2.5,$D3="P")=TRUE,1,"-")</f>
        <v>-</v>
      </c>
      <c r="Z3" s="31" t="str">
        <f t="shared" ref="Z3:Z66" si="15">IF(AND(2.5&lt;$C3,$C3&lt;=3,$D3="R")=TRUE,1,"-")</f>
        <v>-</v>
      </c>
      <c r="AA3" s="32" t="str">
        <f>IF(AND(2.5&lt;$C3,$C3&lt;=3,$D3="S")=TRUE,1,"-")</f>
        <v>-</v>
      </c>
      <c r="AB3" s="32" t="str">
        <f t="shared" ref="AB3:AB66" si="16">IF(AND(2.5&lt;$C3,$C3&lt;=3,$D3="A")=TRUE,1,"-")</f>
        <v>-</v>
      </c>
      <c r="AC3" s="33" t="str">
        <f t="shared" ref="AC3:AC66" si="17">IF(AND(2.5&lt;$C3,$C3&lt;=3,$D3="P")=TRUE,1,"-")</f>
        <v>-</v>
      </c>
      <c r="AD3" s="31" t="str">
        <f t="shared" ref="AD3:AD66" si="18">IF(AND(3&lt;$C3,$C3&lt;=3.5,$D3="R")=TRUE,1,"-")</f>
        <v>-</v>
      </c>
      <c r="AE3" s="32" t="str">
        <f>IF(AND(3&lt;$C3,$C3&lt;=3.5,$D3="S")=TRUE,1,"-")</f>
        <v>-</v>
      </c>
      <c r="AF3" s="32" t="str">
        <f t="shared" ref="AF3:AF66" si="19">IF(AND(3&lt;$C3,$C3&lt;=3.5,$D3="A")=TRUE,1,"-")</f>
        <v>-</v>
      </c>
      <c r="AG3" s="33" t="str">
        <f t="shared" ref="AG3:AG66" si="20">IF(AND(3&lt;$C3,$C3&lt;=3.5,$D3="P")=TRUE,1,"-")</f>
        <v>-</v>
      </c>
      <c r="AH3" s="31" t="str">
        <f t="shared" ref="AH3:AH66" si="21">IF(AND(3.5&lt;$C3,$C3&lt;=4,$D3="R")=TRUE,1,"-")</f>
        <v>-</v>
      </c>
      <c r="AI3" s="32" t="str">
        <f>IF(AND(3.5&lt;$C3,$C3&lt;=4,$D3="S")=TRUE,1,"-")</f>
        <v>-</v>
      </c>
      <c r="AJ3" s="32" t="str">
        <f t="shared" ref="AJ3:AJ66" si="22">IF(AND(3.5&lt;$C3,$C3&lt;=4,$D3="A")=TRUE,1,"-")</f>
        <v>-</v>
      </c>
      <c r="AK3" s="33" t="str">
        <f t="shared" ref="AK3:AK66" si="23">IF(AND(3.5&lt;$C3,$C3&lt;=4,$D3="P")=TRUE,1,"-")</f>
        <v>-</v>
      </c>
      <c r="AL3" s="31" t="str">
        <f>IF(AND(4&lt;$C3,$C3&lt;=6,$D3="R")=TRUE,1,"-")</f>
        <v>-</v>
      </c>
      <c r="AM3" s="32" t="str">
        <f>IF(AND(4&lt;$C3,$C3&lt;=6,$D3="S")=TRUE,1,"-")</f>
        <v>-</v>
      </c>
      <c r="AN3" s="32" t="str">
        <f>IF(AND(4&lt;$C3,$C3&lt;=6,$D3="A")=TRUE,1,"-")</f>
        <v>-</v>
      </c>
      <c r="AO3" s="33" t="str">
        <f>IF(AND(4&lt;$C3,$C3&lt;=6,$D3="P")=TRUE,1,"-")</f>
        <v>-</v>
      </c>
    </row>
    <row r="4" spans="2:41" ht="15" x14ac:dyDescent="0.25">
      <c r="B4" s="415" t="s">
        <v>107</v>
      </c>
      <c r="C4" s="411">
        <v>1.5199999999999996</v>
      </c>
      <c r="D4" s="129" t="s">
        <v>122</v>
      </c>
      <c r="F4" s="34" t="str">
        <f t="shared" si="0"/>
        <v>-</v>
      </c>
      <c r="G4" s="35" t="str">
        <f t="shared" ref="G4:G67" si="24">IF(AND($C4&lt;=1.25,$D4="S")=TRUE,1,"-")</f>
        <v>-</v>
      </c>
      <c r="H4" s="35" t="str">
        <f t="shared" si="1"/>
        <v>-</v>
      </c>
      <c r="I4" s="36" t="str">
        <f t="shared" si="2"/>
        <v>-</v>
      </c>
      <c r="J4" s="34" t="str">
        <f t="shared" si="3"/>
        <v>-</v>
      </c>
      <c r="K4" s="35" t="str">
        <f t="shared" ref="K4:K67" si="25">IF(AND(1.25&lt;$C4,$C4&lt;=1.5,$D4="S")=TRUE,1,"-")</f>
        <v>-</v>
      </c>
      <c r="L4" s="35" t="str">
        <f t="shared" si="4"/>
        <v>-</v>
      </c>
      <c r="M4" s="36" t="str">
        <f t="shared" si="5"/>
        <v>-</v>
      </c>
      <c r="N4" s="34">
        <f t="shared" si="6"/>
        <v>1</v>
      </c>
      <c r="O4" s="35" t="str">
        <f t="shared" ref="O4:O67" si="26">IF(AND(1.5&lt;$C4,$C4&lt;=1.75,$D4="S")=TRUE,1,"-")</f>
        <v>-</v>
      </c>
      <c r="P4" s="35" t="str">
        <f t="shared" si="7"/>
        <v>-</v>
      </c>
      <c r="Q4" s="36" t="str">
        <f t="shared" si="8"/>
        <v>-</v>
      </c>
      <c r="R4" s="34" t="str">
        <f t="shared" si="9"/>
        <v>-</v>
      </c>
      <c r="S4" s="35" t="str">
        <f t="shared" ref="S4:S67" si="27">IF(AND(1.75&lt;$C4,$C4&lt;=2,$D4="S")=TRUE,1,"-")</f>
        <v>-</v>
      </c>
      <c r="T4" s="35" t="str">
        <f t="shared" si="10"/>
        <v>-</v>
      </c>
      <c r="U4" s="36" t="str">
        <f t="shared" si="11"/>
        <v>-</v>
      </c>
      <c r="V4" s="34" t="str">
        <f t="shared" si="12"/>
        <v>-</v>
      </c>
      <c r="W4" s="35" t="str">
        <f t="shared" ref="W4:W67" si="28">IF(AND(2&lt;$C4,$C4&lt;=2.5,$D4="S")=TRUE,1,"-")</f>
        <v>-</v>
      </c>
      <c r="X4" s="35" t="str">
        <f t="shared" si="13"/>
        <v>-</v>
      </c>
      <c r="Y4" s="36" t="str">
        <f t="shared" si="14"/>
        <v>-</v>
      </c>
      <c r="Z4" s="34" t="str">
        <f t="shared" si="15"/>
        <v>-</v>
      </c>
      <c r="AA4" s="35" t="str">
        <f t="shared" ref="AA4:AA67" si="29">IF(AND(2.5&lt;$C4,$C4&lt;=3,$D4="S")=TRUE,1,"-")</f>
        <v>-</v>
      </c>
      <c r="AB4" s="35" t="str">
        <f t="shared" si="16"/>
        <v>-</v>
      </c>
      <c r="AC4" s="36" t="str">
        <f t="shared" si="17"/>
        <v>-</v>
      </c>
      <c r="AD4" s="34" t="str">
        <f t="shared" si="18"/>
        <v>-</v>
      </c>
      <c r="AE4" s="35" t="str">
        <f t="shared" ref="AE4:AE67" si="30">IF(AND(3&lt;$C4,$C4&lt;=3.5,$D4="S")=TRUE,1,"-")</f>
        <v>-</v>
      </c>
      <c r="AF4" s="35" t="str">
        <f t="shared" si="19"/>
        <v>-</v>
      </c>
      <c r="AG4" s="36" t="str">
        <f t="shared" si="20"/>
        <v>-</v>
      </c>
      <c r="AH4" s="34" t="str">
        <f t="shared" si="21"/>
        <v>-</v>
      </c>
      <c r="AI4" s="35" t="str">
        <f t="shared" ref="AI4:AI67" si="31">IF(AND(3.5&lt;$C4,$C4&lt;=4,$D4="S")=TRUE,1,"-")</f>
        <v>-</v>
      </c>
      <c r="AJ4" s="35" t="str">
        <f t="shared" si="22"/>
        <v>-</v>
      </c>
      <c r="AK4" s="36" t="str">
        <f t="shared" si="23"/>
        <v>-</v>
      </c>
      <c r="AL4" s="34" t="str">
        <f t="shared" ref="AL4:AL67" si="32">IF(AND(4&lt;$C4,$C4&lt;=6,$D4="R")=TRUE,1,"-")</f>
        <v>-</v>
      </c>
      <c r="AM4" s="35" t="str">
        <f t="shared" ref="AM4:AM67" si="33">IF(AND(4&lt;$C4,$C4&lt;=6,$D4="S")=TRUE,1,"-")</f>
        <v>-</v>
      </c>
      <c r="AN4" s="35" t="str">
        <f t="shared" ref="AN4:AN67" si="34">IF(AND(4&lt;$C4,$C4&lt;=6,$D4="A")=TRUE,1,"-")</f>
        <v>-</v>
      </c>
      <c r="AO4" s="36" t="str">
        <f t="shared" ref="AO4:AO67" si="35">IF(AND(4&lt;$C4,$C4&lt;=6,$D4="P")=TRUE,1,"-")</f>
        <v>-</v>
      </c>
    </row>
    <row r="5" spans="2:41" ht="15" x14ac:dyDescent="0.25">
      <c r="B5" s="415" t="s">
        <v>108</v>
      </c>
      <c r="C5" s="411">
        <v>1.3399999999999999</v>
      </c>
      <c r="D5" s="129" t="s">
        <v>122</v>
      </c>
      <c r="F5" s="34" t="str">
        <f t="shared" si="0"/>
        <v>-</v>
      </c>
      <c r="G5" s="35" t="str">
        <f t="shared" si="24"/>
        <v>-</v>
      </c>
      <c r="H5" s="35" t="str">
        <f t="shared" si="1"/>
        <v>-</v>
      </c>
      <c r="I5" s="36" t="str">
        <f t="shared" si="2"/>
        <v>-</v>
      </c>
      <c r="J5" s="34">
        <f t="shared" si="3"/>
        <v>1</v>
      </c>
      <c r="K5" s="35" t="str">
        <f t="shared" si="25"/>
        <v>-</v>
      </c>
      <c r="L5" s="35" t="str">
        <f t="shared" si="4"/>
        <v>-</v>
      </c>
      <c r="M5" s="36" t="str">
        <f t="shared" si="5"/>
        <v>-</v>
      </c>
      <c r="N5" s="34" t="str">
        <f t="shared" si="6"/>
        <v>-</v>
      </c>
      <c r="O5" s="35" t="str">
        <f t="shared" si="26"/>
        <v>-</v>
      </c>
      <c r="P5" s="35" t="str">
        <f t="shared" si="7"/>
        <v>-</v>
      </c>
      <c r="Q5" s="36" t="str">
        <f t="shared" si="8"/>
        <v>-</v>
      </c>
      <c r="R5" s="34" t="str">
        <f t="shared" si="9"/>
        <v>-</v>
      </c>
      <c r="S5" s="35" t="str">
        <f t="shared" si="27"/>
        <v>-</v>
      </c>
      <c r="T5" s="35" t="str">
        <f t="shared" si="10"/>
        <v>-</v>
      </c>
      <c r="U5" s="36" t="str">
        <f t="shared" si="11"/>
        <v>-</v>
      </c>
      <c r="V5" s="34" t="str">
        <f t="shared" si="12"/>
        <v>-</v>
      </c>
      <c r="W5" s="35" t="str">
        <f t="shared" si="28"/>
        <v>-</v>
      </c>
      <c r="X5" s="35" t="str">
        <f t="shared" si="13"/>
        <v>-</v>
      </c>
      <c r="Y5" s="36" t="str">
        <f t="shared" si="14"/>
        <v>-</v>
      </c>
      <c r="Z5" s="34" t="str">
        <f t="shared" si="15"/>
        <v>-</v>
      </c>
      <c r="AA5" s="35" t="str">
        <f t="shared" si="29"/>
        <v>-</v>
      </c>
      <c r="AB5" s="35" t="str">
        <f t="shared" si="16"/>
        <v>-</v>
      </c>
      <c r="AC5" s="36" t="str">
        <f t="shared" si="17"/>
        <v>-</v>
      </c>
      <c r="AD5" s="34" t="str">
        <f t="shared" si="18"/>
        <v>-</v>
      </c>
      <c r="AE5" s="35" t="str">
        <f t="shared" si="30"/>
        <v>-</v>
      </c>
      <c r="AF5" s="35" t="str">
        <f t="shared" si="19"/>
        <v>-</v>
      </c>
      <c r="AG5" s="36" t="str">
        <f t="shared" si="20"/>
        <v>-</v>
      </c>
      <c r="AH5" s="34" t="str">
        <f t="shared" si="21"/>
        <v>-</v>
      </c>
      <c r="AI5" s="35" t="str">
        <f t="shared" si="31"/>
        <v>-</v>
      </c>
      <c r="AJ5" s="35" t="str">
        <f t="shared" si="22"/>
        <v>-</v>
      </c>
      <c r="AK5" s="36" t="str">
        <f t="shared" si="23"/>
        <v>-</v>
      </c>
      <c r="AL5" s="34" t="str">
        <f t="shared" si="32"/>
        <v>-</v>
      </c>
      <c r="AM5" s="35" t="str">
        <f t="shared" si="33"/>
        <v>-</v>
      </c>
      <c r="AN5" s="35" t="str">
        <f t="shared" si="34"/>
        <v>-</v>
      </c>
      <c r="AO5" s="36" t="str">
        <f t="shared" si="35"/>
        <v>-</v>
      </c>
    </row>
    <row r="6" spans="2:41" ht="15" x14ac:dyDescent="0.25">
      <c r="B6" s="415" t="s">
        <v>109</v>
      </c>
      <c r="C6" s="411">
        <v>1.3399999999999963</v>
      </c>
      <c r="D6" s="129" t="s">
        <v>122</v>
      </c>
      <c r="F6" s="34" t="str">
        <f t="shared" si="0"/>
        <v>-</v>
      </c>
      <c r="G6" s="35" t="str">
        <f t="shared" si="24"/>
        <v>-</v>
      </c>
      <c r="H6" s="35" t="str">
        <f t="shared" si="1"/>
        <v>-</v>
      </c>
      <c r="I6" s="36" t="str">
        <f t="shared" si="2"/>
        <v>-</v>
      </c>
      <c r="J6" s="34">
        <f t="shared" si="3"/>
        <v>1</v>
      </c>
      <c r="K6" s="35" t="str">
        <f t="shared" si="25"/>
        <v>-</v>
      </c>
      <c r="L6" s="35" t="str">
        <f t="shared" si="4"/>
        <v>-</v>
      </c>
      <c r="M6" s="36" t="str">
        <f t="shared" si="5"/>
        <v>-</v>
      </c>
      <c r="N6" s="34" t="str">
        <f t="shared" si="6"/>
        <v>-</v>
      </c>
      <c r="O6" s="35" t="str">
        <f t="shared" si="26"/>
        <v>-</v>
      </c>
      <c r="P6" s="35" t="str">
        <f t="shared" si="7"/>
        <v>-</v>
      </c>
      <c r="Q6" s="36" t="str">
        <f t="shared" si="8"/>
        <v>-</v>
      </c>
      <c r="R6" s="34" t="str">
        <f t="shared" si="9"/>
        <v>-</v>
      </c>
      <c r="S6" s="35" t="str">
        <f t="shared" si="27"/>
        <v>-</v>
      </c>
      <c r="T6" s="35" t="str">
        <f t="shared" si="10"/>
        <v>-</v>
      </c>
      <c r="U6" s="36" t="str">
        <f t="shared" si="11"/>
        <v>-</v>
      </c>
      <c r="V6" s="34" t="str">
        <f t="shared" si="12"/>
        <v>-</v>
      </c>
      <c r="W6" s="35" t="str">
        <f t="shared" si="28"/>
        <v>-</v>
      </c>
      <c r="X6" s="35" t="str">
        <f t="shared" si="13"/>
        <v>-</v>
      </c>
      <c r="Y6" s="36" t="str">
        <f t="shared" si="14"/>
        <v>-</v>
      </c>
      <c r="Z6" s="34" t="str">
        <f t="shared" si="15"/>
        <v>-</v>
      </c>
      <c r="AA6" s="35" t="str">
        <f t="shared" si="29"/>
        <v>-</v>
      </c>
      <c r="AB6" s="35" t="str">
        <f t="shared" si="16"/>
        <v>-</v>
      </c>
      <c r="AC6" s="36" t="str">
        <f t="shared" si="17"/>
        <v>-</v>
      </c>
      <c r="AD6" s="34" t="str">
        <f t="shared" si="18"/>
        <v>-</v>
      </c>
      <c r="AE6" s="35" t="str">
        <f t="shared" si="30"/>
        <v>-</v>
      </c>
      <c r="AF6" s="35" t="str">
        <f t="shared" si="19"/>
        <v>-</v>
      </c>
      <c r="AG6" s="36" t="str">
        <f t="shared" si="20"/>
        <v>-</v>
      </c>
      <c r="AH6" s="34" t="str">
        <f t="shared" si="21"/>
        <v>-</v>
      </c>
      <c r="AI6" s="35" t="str">
        <f t="shared" si="31"/>
        <v>-</v>
      </c>
      <c r="AJ6" s="35" t="str">
        <f t="shared" si="22"/>
        <v>-</v>
      </c>
      <c r="AK6" s="36" t="str">
        <f t="shared" si="23"/>
        <v>-</v>
      </c>
      <c r="AL6" s="34" t="str">
        <f t="shared" si="32"/>
        <v>-</v>
      </c>
      <c r="AM6" s="35" t="str">
        <f t="shared" si="33"/>
        <v>-</v>
      </c>
      <c r="AN6" s="35" t="str">
        <f t="shared" si="34"/>
        <v>-</v>
      </c>
      <c r="AO6" s="36" t="str">
        <f t="shared" si="35"/>
        <v>-</v>
      </c>
    </row>
    <row r="7" spans="2:41" ht="15" x14ac:dyDescent="0.25">
      <c r="B7" s="415" t="s">
        <v>110</v>
      </c>
      <c r="C7" s="411">
        <v>1.1999999999999957</v>
      </c>
      <c r="D7" s="129" t="s">
        <v>122</v>
      </c>
      <c r="F7" s="34">
        <f t="shared" si="0"/>
        <v>1</v>
      </c>
      <c r="G7" s="35" t="str">
        <f t="shared" si="24"/>
        <v>-</v>
      </c>
      <c r="H7" s="35" t="str">
        <f t="shared" si="1"/>
        <v>-</v>
      </c>
      <c r="I7" s="36" t="str">
        <f t="shared" si="2"/>
        <v>-</v>
      </c>
      <c r="J7" s="34" t="str">
        <f t="shared" si="3"/>
        <v>-</v>
      </c>
      <c r="K7" s="35" t="str">
        <f t="shared" si="25"/>
        <v>-</v>
      </c>
      <c r="L7" s="35" t="str">
        <f t="shared" si="4"/>
        <v>-</v>
      </c>
      <c r="M7" s="36" t="str">
        <f t="shared" si="5"/>
        <v>-</v>
      </c>
      <c r="N7" s="34" t="str">
        <f t="shared" si="6"/>
        <v>-</v>
      </c>
      <c r="O7" s="35" t="str">
        <f t="shared" si="26"/>
        <v>-</v>
      </c>
      <c r="P7" s="35" t="str">
        <f t="shared" si="7"/>
        <v>-</v>
      </c>
      <c r="Q7" s="36" t="str">
        <f t="shared" si="8"/>
        <v>-</v>
      </c>
      <c r="R7" s="34" t="str">
        <f t="shared" si="9"/>
        <v>-</v>
      </c>
      <c r="S7" s="35" t="str">
        <f t="shared" si="27"/>
        <v>-</v>
      </c>
      <c r="T7" s="35" t="str">
        <f t="shared" si="10"/>
        <v>-</v>
      </c>
      <c r="U7" s="36" t="str">
        <f t="shared" si="11"/>
        <v>-</v>
      </c>
      <c r="V7" s="34" t="str">
        <f t="shared" si="12"/>
        <v>-</v>
      </c>
      <c r="W7" s="35" t="str">
        <f t="shared" si="28"/>
        <v>-</v>
      </c>
      <c r="X7" s="35" t="str">
        <f t="shared" si="13"/>
        <v>-</v>
      </c>
      <c r="Y7" s="36" t="str">
        <f t="shared" si="14"/>
        <v>-</v>
      </c>
      <c r="Z7" s="34" t="str">
        <f t="shared" si="15"/>
        <v>-</v>
      </c>
      <c r="AA7" s="35" t="str">
        <f t="shared" si="29"/>
        <v>-</v>
      </c>
      <c r="AB7" s="35" t="str">
        <f t="shared" si="16"/>
        <v>-</v>
      </c>
      <c r="AC7" s="36" t="str">
        <f t="shared" si="17"/>
        <v>-</v>
      </c>
      <c r="AD7" s="34" t="str">
        <f t="shared" si="18"/>
        <v>-</v>
      </c>
      <c r="AE7" s="35" t="str">
        <f t="shared" si="30"/>
        <v>-</v>
      </c>
      <c r="AF7" s="35" t="str">
        <f t="shared" si="19"/>
        <v>-</v>
      </c>
      <c r="AG7" s="36" t="str">
        <f t="shared" si="20"/>
        <v>-</v>
      </c>
      <c r="AH7" s="34" t="str">
        <f t="shared" si="21"/>
        <v>-</v>
      </c>
      <c r="AI7" s="35" t="str">
        <f t="shared" si="31"/>
        <v>-</v>
      </c>
      <c r="AJ7" s="35" t="str">
        <f t="shared" si="22"/>
        <v>-</v>
      </c>
      <c r="AK7" s="36" t="str">
        <f t="shared" si="23"/>
        <v>-</v>
      </c>
      <c r="AL7" s="34" t="str">
        <f t="shared" si="32"/>
        <v>-</v>
      </c>
      <c r="AM7" s="35" t="str">
        <f t="shared" si="33"/>
        <v>-</v>
      </c>
      <c r="AN7" s="35" t="str">
        <f t="shared" si="34"/>
        <v>-</v>
      </c>
      <c r="AO7" s="36" t="str">
        <f t="shared" si="35"/>
        <v>-</v>
      </c>
    </row>
    <row r="8" spans="2:41" ht="15" x14ac:dyDescent="0.25">
      <c r="B8" s="415" t="s">
        <v>111</v>
      </c>
      <c r="C8" s="411">
        <v>1.379999999999999</v>
      </c>
      <c r="D8" s="129" t="s">
        <v>122</v>
      </c>
      <c r="F8" s="34" t="str">
        <f t="shared" si="0"/>
        <v>-</v>
      </c>
      <c r="G8" s="35" t="str">
        <f t="shared" si="24"/>
        <v>-</v>
      </c>
      <c r="H8" s="35" t="str">
        <f t="shared" si="1"/>
        <v>-</v>
      </c>
      <c r="I8" s="36" t="str">
        <f t="shared" si="2"/>
        <v>-</v>
      </c>
      <c r="J8" s="34">
        <f t="shared" si="3"/>
        <v>1</v>
      </c>
      <c r="K8" s="35" t="str">
        <f t="shared" si="25"/>
        <v>-</v>
      </c>
      <c r="L8" s="35" t="str">
        <f t="shared" si="4"/>
        <v>-</v>
      </c>
      <c r="M8" s="36" t="str">
        <f t="shared" si="5"/>
        <v>-</v>
      </c>
      <c r="N8" s="34" t="str">
        <f t="shared" si="6"/>
        <v>-</v>
      </c>
      <c r="O8" s="35" t="str">
        <f t="shared" si="26"/>
        <v>-</v>
      </c>
      <c r="P8" s="35" t="str">
        <f t="shared" si="7"/>
        <v>-</v>
      </c>
      <c r="Q8" s="36" t="str">
        <f t="shared" si="8"/>
        <v>-</v>
      </c>
      <c r="R8" s="34" t="str">
        <f t="shared" si="9"/>
        <v>-</v>
      </c>
      <c r="S8" s="35" t="str">
        <f t="shared" si="27"/>
        <v>-</v>
      </c>
      <c r="T8" s="35" t="str">
        <f t="shared" si="10"/>
        <v>-</v>
      </c>
      <c r="U8" s="36" t="str">
        <f t="shared" si="11"/>
        <v>-</v>
      </c>
      <c r="V8" s="34" t="str">
        <f t="shared" si="12"/>
        <v>-</v>
      </c>
      <c r="W8" s="35" t="str">
        <f t="shared" si="28"/>
        <v>-</v>
      </c>
      <c r="X8" s="35" t="str">
        <f t="shared" si="13"/>
        <v>-</v>
      </c>
      <c r="Y8" s="36" t="str">
        <f t="shared" si="14"/>
        <v>-</v>
      </c>
      <c r="Z8" s="34" t="str">
        <f t="shared" si="15"/>
        <v>-</v>
      </c>
      <c r="AA8" s="35" t="str">
        <f t="shared" si="29"/>
        <v>-</v>
      </c>
      <c r="AB8" s="35" t="str">
        <f t="shared" si="16"/>
        <v>-</v>
      </c>
      <c r="AC8" s="36" t="str">
        <f t="shared" si="17"/>
        <v>-</v>
      </c>
      <c r="AD8" s="34" t="str">
        <f t="shared" si="18"/>
        <v>-</v>
      </c>
      <c r="AE8" s="35" t="str">
        <f t="shared" si="30"/>
        <v>-</v>
      </c>
      <c r="AF8" s="35" t="str">
        <f t="shared" si="19"/>
        <v>-</v>
      </c>
      <c r="AG8" s="36" t="str">
        <f t="shared" si="20"/>
        <v>-</v>
      </c>
      <c r="AH8" s="34" t="str">
        <f t="shared" si="21"/>
        <v>-</v>
      </c>
      <c r="AI8" s="35" t="str">
        <f t="shared" si="31"/>
        <v>-</v>
      </c>
      <c r="AJ8" s="35" t="str">
        <f t="shared" si="22"/>
        <v>-</v>
      </c>
      <c r="AK8" s="36" t="str">
        <f t="shared" si="23"/>
        <v>-</v>
      </c>
      <c r="AL8" s="34" t="str">
        <f t="shared" si="32"/>
        <v>-</v>
      </c>
      <c r="AM8" s="35" t="str">
        <f t="shared" si="33"/>
        <v>-</v>
      </c>
      <c r="AN8" s="35" t="str">
        <f t="shared" si="34"/>
        <v>-</v>
      </c>
      <c r="AO8" s="36" t="str">
        <f t="shared" si="35"/>
        <v>-</v>
      </c>
    </row>
    <row r="9" spans="2:41" ht="15" x14ac:dyDescent="0.25">
      <c r="B9" s="415" t="s">
        <v>112</v>
      </c>
      <c r="C9" s="411">
        <v>2.3499999999999979</v>
      </c>
      <c r="D9" s="129" t="s">
        <v>122</v>
      </c>
      <c r="F9" s="34" t="str">
        <f t="shared" si="0"/>
        <v>-</v>
      </c>
      <c r="G9" s="35" t="str">
        <f t="shared" si="24"/>
        <v>-</v>
      </c>
      <c r="H9" s="35" t="str">
        <f t="shared" si="1"/>
        <v>-</v>
      </c>
      <c r="I9" s="36" t="str">
        <f t="shared" si="2"/>
        <v>-</v>
      </c>
      <c r="J9" s="34" t="str">
        <f t="shared" si="3"/>
        <v>-</v>
      </c>
      <c r="K9" s="35" t="str">
        <f t="shared" si="25"/>
        <v>-</v>
      </c>
      <c r="L9" s="35" t="str">
        <f t="shared" si="4"/>
        <v>-</v>
      </c>
      <c r="M9" s="36" t="str">
        <f t="shared" si="5"/>
        <v>-</v>
      </c>
      <c r="N9" s="34" t="str">
        <f t="shared" si="6"/>
        <v>-</v>
      </c>
      <c r="O9" s="35" t="str">
        <f t="shared" si="26"/>
        <v>-</v>
      </c>
      <c r="P9" s="35" t="str">
        <f t="shared" si="7"/>
        <v>-</v>
      </c>
      <c r="Q9" s="36" t="str">
        <f t="shared" si="8"/>
        <v>-</v>
      </c>
      <c r="R9" s="34" t="str">
        <f t="shared" si="9"/>
        <v>-</v>
      </c>
      <c r="S9" s="35" t="str">
        <f t="shared" si="27"/>
        <v>-</v>
      </c>
      <c r="T9" s="35" t="str">
        <f t="shared" si="10"/>
        <v>-</v>
      </c>
      <c r="U9" s="36" t="str">
        <f t="shared" si="11"/>
        <v>-</v>
      </c>
      <c r="V9" s="34">
        <f t="shared" si="12"/>
        <v>1</v>
      </c>
      <c r="W9" s="35" t="str">
        <f t="shared" si="28"/>
        <v>-</v>
      </c>
      <c r="X9" s="35" t="str">
        <f t="shared" si="13"/>
        <v>-</v>
      </c>
      <c r="Y9" s="36" t="str">
        <f t="shared" si="14"/>
        <v>-</v>
      </c>
      <c r="Z9" s="34" t="str">
        <f t="shared" si="15"/>
        <v>-</v>
      </c>
      <c r="AA9" s="35" t="str">
        <f t="shared" si="29"/>
        <v>-</v>
      </c>
      <c r="AB9" s="35" t="str">
        <f t="shared" si="16"/>
        <v>-</v>
      </c>
      <c r="AC9" s="36" t="str">
        <f t="shared" si="17"/>
        <v>-</v>
      </c>
      <c r="AD9" s="34" t="str">
        <f t="shared" si="18"/>
        <v>-</v>
      </c>
      <c r="AE9" s="35" t="str">
        <f t="shared" si="30"/>
        <v>-</v>
      </c>
      <c r="AF9" s="35" t="str">
        <f t="shared" si="19"/>
        <v>-</v>
      </c>
      <c r="AG9" s="36" t="str">
        <f t="shared" si="20"/>
        <v>-</v>
      </c>
      <c r="AH9" s="34" t="str">
        <f t="shared" si="21"/>
        <v>-</v>
      </c>
      <c r="AI9" s="35" t="str">
        <f t="shared" si="31"/>
        <v>-</v>
      </c>
      <c r="AJ9" s="35" t="str">
        <f t="shared" si="22"/>
        <v>-</v>
      </c>
      <c r="AK9" s="36" t="str">
        <f t="shared" si="23"/>
        <v>-</v>
      </c>
      <c r="AL9" s="34" t="str">
        <f t="shared" si="32"/>
        <v>-</v>
      </c>
      <c r="AM9" s="35" t="str">
        <f t="shared" si="33"/>
        <v>-</v>
      </c>
      <c r="AN9" s="35" t="str">
        <f t="shared" si="34"/>
        <v>-</v>
      </c>
      <c r="AO9" s="36" t="str">
        <f t="shared" si="35"/>
        <v>-</v>
      </c>
    </row>
    <row r="10" spans="2:41" ht="15" x14ac:dyDescent="0.25">
      <c r="B10" s="415" t="s">
        <v>113</v>
      </c>
      <c r="C10" s="411">
        <v>1.5300000000000011</v>
      </c>
      <c r="D10" s="129" t="s">
        <v>122</v>
      </c>
      <c r="F10" s="34" t="str">
        <f t="shared" si="0"/>
        <v>-</v>
      </c>
      <c r="G10" s="35" t="str">
        <f t="shared" si="24"/>
        <v>-</v>
      </c>
      <c r="H10" s="35" t="str">
        <f t="shared" si="1"/>
        <v>-</v>
      </c>
      <c r="I10" s="36" t="str">
        <f t="shared" si="2"/>
        <v>-</v>
      </c>
      <c r="J10" s="34" t="str">
        <f t="shared" si="3"/>
        <v>-</v>
      </c>
      <c r="K10" s="35" t="str">
        <f t="shared" si="25"/>
        <v>-</v>
      </c>
      <c r="L10" s="35" t="str">
        <f t="shared" si="4"/>
        <v>-</v>
      </c>
      <c r="M10" s="36" t="str">
        <f t="shared" si="5"/>
        <v>-</v>
      </c>
      <c r="N10" s="34">
        <f t="shared" si="6"/>
        <v>1</v>
      </c>
      <c r="O10" s="35" t="str">
        <f t="shared" si="26"/>
        <v>-</v>
      </c>
      <c r="P10" s="35" t="str">
        <f t="shared" si="7"/>
        <v>-</v>
      </c>
      <c r="Q10" s="36" t="str">
        <f t="shared" si="8"/>
        <v>-</v>
      </c>
      <c r="R10" s="34" t="str">
        <f t="shared" si="9"/>
        <v>-</v>
      </c>
      <c r="S10" s="35" t="str">
        <f t="shared" si="27"/>
        <v>-</v>
      </c>
      <c r="T10" s="35" t="str">
        <f t="shared" si="10"/>
        <v>-</v>
      </c>
      <c r="U10" s="36" t="str">
        <f t="shared" si="11"/>
        <v>-</v>
      </c>
      <c r="V10" s="34" t="str">
        <f t="shared" si="12"/>
        <v>-</v>
      </c>
      <c r="W10" s="35" t="str">
        <f t="shared" si="28"/>
        <v>-</v>
      </c>
      <c r="X10" s="35" t="str">
        <f t="shared" si="13"/>
        <v>-</v>
      </c>
      <c r="Y10" s="36" t="str">
        <f t="shared" si="14"/>
        <v>-</v>
      </c>
      <c r="Z10" s="34" t="str">
        <f t="shared" si="15"/>
        <v>-</v>
      </c>
      <c r="AA10" s="35" t="str">
        <f t="shared" si="29"/>
        <v>-</v>
      </c>
      <c r="AB10" s="35" t="str">
        <f t="shared" si="16"/>
        <v>-</v>
      </c>
      <c r="AC10" s="36" t="str">
        <f t="shared" si="17"/>
        <v>-</v>
      </c>
      <c r="AD10" s="34" t="str">
        <f t="shared" si="18"/>
        <v>-</v>
      </c>
      <c r="AE10" s="35" t="str">
        <f t="shared" si="30"/>
        <v>-</v>
      </c>
      <c r="AF10" s="35" t="str">
        <f t="shared" si="19"/>
        <v>-</v>
      </c>
      <c r="AG10" s="36" t="str">
        <f t="shared" si="20"/>
        <v>-</v>
      </c>
      <c r="AH10" s="34" t="str">
        <f t="shared" si="21"/>
        <v>-</v>
      </c>
      <c r="AI10" s="35" t="str">
        <f t="shared" si="31"/>
        <v>-</v>
      </c>
      <c r="AJ10" s="35" t="str">
        <f t="shared" si="22"/>
        <v>-</v>
      </c>
      <c r="AK10" s="36" t="str">
        <f t="shared" si="23"/>
        <v>-</v>
      </c>
      <c r="AL10" s="34" t="str">
        <f t="shared" si="32"/>
        <v>-</v>
      </c>
      <c r="AM10" s="35" t="str">
        <f t="shared" si="33"/>
        <v>-</v>
      </c>
      <c r="AN10" s="35" t="str">
        <f t="shared" si="34"/>
        <v>-</v>
      </c>
      <c r="AO10" s="36" t="str">
        <f t="shared" si="35"/>
        <v>-</v>
      </c>
    </row>
    <row r="11" spans="2:41" ht="15" x14ac:dyDescent="0.25">
      <c r="B11" s="415" t="s">
        <v>414</v>
      </c>
      <c r="C11" s="411">
        <v>1.240000000000002</v>
      </c>
      <c r="D11" s="129" t="s">
        <v>122</v>
      </c>
      <c r="F11" s="34">
        <f t="shared" si="0"/>
        <v>1</v>
      </c>
      <c r="G11" s="35" t="str">
        <f t="shared" si="24"/>
        <v>-</v>
      </c>
      <c r="H11" s="35" t="str">
        <f t="shared" si="1"/>
        <v>-</v>
      </c>
      <c r="I11" s="36" t="str">
        <f t="shared" si="2"/>
        <v>-</v>
      </c>
      <c r="J11" s="34" t="str">
        <f t="shared" si="3"/>
        <v>-</v>
      </c>
      <c r="K11" s="35" t="str">
        <f t="shared" si="25"/>
        <v>-</v>
      </c>
      <c r="L11" s="35" t="str">
        <f t="shared" si="4"/>
        <v>-</v>
      </c>
      <c r="M11" s="36" t="str">
        <f t="shared" si="5"/>
        <v>-</v>
      </c>
      <c r="N11" s="34" t="str">
        <f t="shared" si="6"/>
        <v>-</v>
      </c>
      <c r="O11" s="35" t="str">
        <f t="shared" si="26"/>
        <v>-</v>
      </c>
      <c r="P11" s="35" t="str">
        <f t="shared" si="7"/>
        <v>-</v>
      </c>
      <c r="Q11" s="36" t="str">
        <f t="shared" si="8"/>
        <v>-</v>
      </c>
      <c r="R11" s="34" t="str">
        <f t="shared" si="9"/>
        <v>-</v>
      </c>
      <c r="S11" s="35" t="str">
        <f t="shared" si="27"/>
        <v>-</v>
      </c>
      <c r="T11" s="35" t="str">
        <f t="shared" si="10"/>
        <v>-</v>
      </c>
      <c r="U11" s="36" t="str">
        <f t="shared" si="11"/>
        <v>-</v>
      </c>
      <c r="V11" s="34" t="str">
        <f t="shared" si="12"/>
        <v>-</v>
      </c>
      <c r="W11" s="35" t="str">
        <f t="shared" si="28"/>
        <v>-</v>
      </c>
      <c r="X11" s="35" t="str">
        <f t="shared" si="13"/>
        <v>-</v>
      </c>
      <c r="Y11" s="36" t="str">
        <f t="shared" si="14"/>
        <v>-</v>
      </c>
      <c r="Z11" s="34" t="str">
        <f t="shared" si="15"/>
        <v>-</v>
      </c>
      <c r="AA11" s="35" t="str">
        <f t="shared" si="29"/>
        <v>-</v>
      </c>
      <c r="AB11" s="35" t="str">
        <f t="shared" si="16"/>
        <v>-</v>
      </c>
      <c r="AC11" s="36" t="str">
        <f t="shared" si="17"/>
        <v>-</v>
      </c>
      <c r="AD11" s="34" t="str">
        <f t="shared" si="18"/>
        <v>-</v>
      </c>
      <c r="AE11" s="35" t="str">
        <f t="shared" si="30"/>
        <v>-</v>
      </c>
      <c r="AF11" s="35" t="str">
        <f t="shared" si="19"/>
        <v>-</v>
      </c>
      <c r="AG11" s="36" t="str">
        <f t="shared" si="20"/>
        <v>-</v>
      </c>
      <c r="AH11" s="34" t="str">
        <f t="shared" si="21"/>
        <v>-</v>
      </c>
      <c r="AI11" s="35" t="str">
        <f t="shared" si="31"/>
        <v>-</v>
      </c>
      <c r="AJ11" s="35" t="str">
        <f t="shared" si="22"/>
        <v>-</v>
      </c>
      <c r="AK11" s="36" t="str">
        <f t="shared" si="23"/>
        <v>-</v>
      </c>
      <c r="AL11" s="34" t="str">
        <f t="shared" si="32"/>
        <v>-</v>
      </c>
      <c r="AM11" s="35" t="str">
        <f t="shared" si="33"/>
        <v>-</v>
      </c>
      <c r="AN11" s="35" t="str">
        <f t="shared" si="34"/>
        <v>-</v>
      </c>
      <c r="AO11" s="36" t="str">
        <f t="shared" si="35"/>
        <v>-</v>
      </c>
    </row>
    <row r="12" spans="2:41" ht="15" x14ac:dyDescent="0.25">
      <c r="B12" s="415" t="s">
        <v>114</v>
      </c>
      <c r="C12" s="411">
        <v>1.9999999999999964</v>
      </c>
      <c r="D12" s="129" t="s">
        <v>122</v>
      </c>
      <c r="F12" s="34" t="str">
        <f t="shared" si="0"/>
        <v>-</v>
      </c>
      <c r="G12" s="35" t="str">
        <f t="shared" si="24"/>
        <v>-</v>
      </c>
      <c r="H12" s="35" t="str">
        <f t="shared" si="1"/>
        <v>-</v>
      </c>
      <c r="I12" s="36" t="str">
        <f t="shared" si="2"/>
        <v>-</v>
      </c>
      <c r="J12" s="34" t="str">
        <f t="shared" si="3"/>
        <v>-</v>
      </c>
      <c r="K12" s="35" t="str">
        <f t="shared" si="25"/>
        <v>-</v>
      </c>
      <c r="L12" s="35" t="str">
        <f t="shared" si="4"/>
        <v>-</v>
      </c>
      <c r="M12" s="36" t="str">
        <f t="shared" si="5"/>
        <v>-</v>
      </c>
      <c r="N12" s="34" t="str">
        <f t="shared" si="6"/>
        <v>-</v>
      </c>
      <c r="O12" s="35" t="str">
        <f t="shared" si="26"/>
        <v>-</v>
      </c>
      <c r="P12" s="35" t="str">
        <f t="shared" si="7"/>
        <v>-</v>
      </c>
      <c r="Q12" s="36" t="str">
        <f t="shared" si="8"/>
        <v>-</v>
      </c>
      <c r="R12" s="34">
        <f t="shared" si="9"/>
        <v>1</v>
      </c>
      <c r="S12" s="35" t="str">
        <f t="shared" si="27"/>
        <v>-</v>
      </c>
      <c r="T12" s="35" t="str">
        <f t="shared" si="10"/>
        <v>-</v>
      </c>
      <c r="U12" s="36" t="str">
        <f t="shared" si="11"/>
        <v>-</v>
      </c>
      <c r="V12" s="34" t="str">
        <f t="shared" si="12"/>
        <v>-</v>
      </c>
      <c r="W12" s="35" t="str">
        <f t="shared" si="28"/>
        <v>-</v>
      </c>
      <c r="X12" s="35" t="str">
        <f t="shared" si="13"/>
        <v>-</v>
      </c>
      <c r="Y12" s="36" t="str">
        <f t="shared" si="14"/>
        <v>-</v>
      </c>
      <c r="Z12" s="34" t="str">
        <f t="shared" si="15"/>
        <v>-</v>
      </c>
      <c r="AA12" s="35" t="str">
        <f t="shared" si="29"/>
        <v>-</v>
      </c>
      <c r="AB12" s="35" t="str">
        <f t="shared" si="16"/>
        <v>-</v>
      </c>
      <c r="AC12" s="36" t="str">
        <f t="shared" si="17"/>
        <v>-</v>
      </c>
      <c r="AD12" s="34" t="str">
        <f t="shared" si="18"/>
        <v>-</v>
      </c>
      <c r="AE12" s="35" t="str">
        <f t="shared" si="30"/>
        <v>-</v>
      </c>
      <c r="AF12" s="35" t="str">
        <f t="shared" si="19"/>
        <v>-</v>
      </c>
      <c r="AG12" s="36" t="str">
        <f t="shared" si="20"/>
        <v>-</v>
      </c>
      <c r="AH12" s="34" t="str">
        <f t="shared" si="21"/>
        <v>-</v>
      </c>
      <c r="AI12" s="35" t="str">
        <f t="shared" si="31"/>
        <v>-</v>
      </c>
      <c r="AJ12" s="35" t="str">
        <f t="shared" si="22"/>
        <v>-</v>
      </c>
      <c r="AK12" s="36" t="str">
        <f t="shared" si="23"/>
        <v>-</v>
      </c>
      <c r="AL12" s="34" t="str">
        <f t="shared" si="32"/>
        <v>-</v>
      </c>
      <c r="AM12" s="35" t="str">
        <f t="shared" si="33"/>
        <v>-</v>
      </c>
      <c r="AN12" s="35" t="str">
        <f t="shared" si="34"/>
        <v>-</v>
      </c>
      <c r="AO12" s="36" t="str">
        <f t="shared" si="35"/>
        <v>-</v>
      </c>
    </row>
    <row r="13" spans="2:41" ht="15" x14ac:dyDescent="0.25">
      <c r="B13" s="415" t="s">
        <v>415</v>
      </c>
      <c r="C13" s="411">
        <v>1.9600000000000009</v>
      </c>
      <c r="D13" s="129" t="s">
        <v>122</v>
      </c>
      <c r="F13" s="34" t="str">
        <f t="shared" si="0"/>
        <v>-</v>
      </c>
      <c r="G13" s="35" t="str">
        <f t="shared" si="24"/>
        <v>-</v>
      </c>
      <c r="H13" s="35" t="str">
        <f t="shared" si="1"/>
        <v>-</v>
      </c>
      <c r="I13" s="36" t="str">
        <f t="shared" si="2"/>
        <v>-</v>
      </c>
      <c r="J13" s="34" t="str">
        <f t="shared" si="3"/>
        <v>-</v>
      </c>
      <c r="K13" s="35" t="str">
        <f t="shared" si="25"/>
        <v>-</v>
      </c>
      <c r="L13" s="35" t="str">
        <f t="shared" si="4"/>
        <v>-</v>
      </c>
      <c r="M13" s="36" t="str">
        <f t="shared" si="5"/>
        <v>-</v>
      </c>
      <c r="N13" s="34" t="str">
        <f t="shared" si="6"/>
        <v>-</v>
      </c>
      <c r="O13" s="35" t="str">
        <f t="shared" si="26"/>
        <v>-</v>
      </c>
      <c r="P13" s="35" t="str">
        <f t="shared" si="7"/>
        <v>-</v>
      </c>
      <c r="Q13" s="36" t="str">
        <f t="shared" si="8"/>
        <v>-</v>
      </c>
      <c r="R13" s="34">
        <f t="shared" si="9"/>
        <v>1</v>
      </c>
      <c r="S13" s="35" t="str">
        <f t="shared" si="27"/>
        <v>-</v>
      </c>
      <c r="T13" s="35" t="str">
        <f t="shared" si="10"/>
        <v>-</v>
      </c>
      <c r="U13" s="36" t="str">
        <f t="shared" si="11"/>
        <v>-</v>
      </c>
      <c r="V13" s="34" t="str">
        <f t="shared" si="12"/>
        <v>-</v>
      </c>
      <c r="W13" s="35" t="str">
        <f t="shared" si="28"/>
        <v>-</v>
      </c>
      <c r="X13" s="35" t="str">
        <f t="shared" si="13"/>
        <v>-</v>
      </c>
      <c r="Y13" s="36" t="str">
        <f t="shared" si="14"/>
        <v>-</v>
      </c>
      <c r="Z13" s="34" t="str">
        <f t="shared" si="15"/>
        <v>-</v>
      </c>
      <c r="AA13" s="35" t="str">
        <f t="shared" si="29"/>
        <v>-</v>
      </c>
      <c r="AB13" s="35" t="str">
        <f t="shared" si="16"/>
        <v>-</v>
      </c>
      <c r="AC13" s="36" t="str">
        <f t="shared" si="17"/>
        <v>-</v>
      </c>
      <c r="AD13" s="34" t="str">
        <f t="shared" si="18"/>
        <v>-</v>
      </c>
      <c r="AE13" s="35" t="str">
        <f t="shared" si="30"/>
        <v>-</v>
      </c>
      <c r="AF13" s="35" t="str">
        <f t="shared" si="19"/>
        <v>-</v>
      </c>
      <c r="AG13" s="36" t="str">
        <f t="shared" si="20"/>
        <v>-</v>
      </c>
      <c r="AH13" s="34" t="str">
        <f t="shared" si="21"/>
        <v>-</v>
      </c>
      <c r="AI13" s="35" t="str">
        <f t="shared" si="31"/>
        <v>-</v>
      </c>
      <c r="AJ13" s="35" t="str">
        <f t="shared" si="22"/>
        <v>-</v>
      </c>
      <c r="AK13" s="36" t="str">
        <f t="shared" si="23"/>
        <v>-</v>
      </c>
      <c r="AL13" s="34" t="str">
        <f t="shared" si="32"/>
        <v>-</v>
      </c>
      <c r="AM13" s="35" t="str">
        <f t="shared" si="33"/>
        <v>-</v>
      </c>
      <c r="AN13" s="35" t="str">
        <f t="shared" si="34"/>
        <v>-</v>
      </c>
      <c r="AO13" s="36" t="str">
        <f t="shared" si="35"/>
        <v>-</v>
      </c>
    </row>
    <row r="14" spans="2:41" ht="15" x14ac:dyDescent="0.25">
      <c r="B14" s="416" t="s">
        <v>437</v>
      </c>
      <c r="C14" s="412">
        <v>0.92</v>
      </c>
      <c r="D14" s="417" t="s">
        <v>126</v>
      </c>
      <c r="F14" s="34" t="str">
        <f t="shared" si="0"/>
        <v>-</v>
      </c>
      <c r="G14" s="35" t="str">
        <f t="shared" si="24"/>
        <v>-</v>
      </c>
      <c r="H14" s="35">
        <f t="shared" si="1"/>
        <v>1</v>
      </c>
      <c r="I14" s="36" t="str">
        <f t="shared" si="2"/>
        <v>-</v>
      </c>
      <c r="J14" s="34" t="str">
        <f t="shared" si="3"/>
        <v>-</v>
      </c>
      <c r="K14" s="35" t="str">
        <f t="shared" si="25"/>
        <v>-</v>
      </c>
      <c r="L14" s="35" t="str">
        <f t="shared" si="4"/>
        <v>-</v>
      </c>
      <c r="M14" s="36" t="str">
        <f t="shared" si="5"/>
        <v>-</v>
      </c>
      <c r="N14" s="34" t="str">
        <f t="shared" si="6"/>
        <v>-</v>
      </c>
      <c r="O14" s="35" t="str">
        <f t="shared" si="26"/>
        <v>-</v>
      </c>
      <c r="P14" s="35" t="str">
        <f t="shared" si="7"/>
        <v>-</v>
      </c>
      <c r="Q14" s="36" t="str">
        <f t="shared" si="8"/>
        <v>-</v>
      </c>
      <c r="R14" s="34" t="str">
        <f t="shared" si="9"/>
        <v>-</v>
      </c>
      <c r="S14" s="35" t="str">
        <f t="shared" si="27"/>
        <v>-</v>
      </c>
      <c r="T14" s="35" t="str">
        <f t="shared" si="10"/>
        <v>-</v>
      </c>
      <c r="U14" s="36" t="str">
        <f t="shared" si="11"/>
        <v>-</v>
      </c>
      <c r="V14" s="34" t="str">
        <f t="shared" si="12"/>
        <v>-</v>
      </c>
      <c r="W14" s="35" t="str">
        <f t="shared" si="28"/>
        <v>-</v>
      </c>
      <c r="X14" s="35" t="str">
        <f t="shared" si="13"/>
        <v>-</v>
      </c>
      <c r="Y14" s="36" t="str">
        <f t="shared" si="14"/>
        <v>-</v>
      </c>
      <c r="Z14" s="34" t="str">
        <f t="shared" si="15"/>
        <v>-</v>
      </c>
      <c r="AA14" s="35" t="str">
        <f t="shared" si="29"/>
        <v>-</v>
      </c>
      <c r="AB14" s="35" t="str">
        <f t="shared" si="16"/>
        <v>-</v>
      </c>
      <c r="AC14" s="36" t="str">
        <f t="shared" si="17"/>
        <v>-</v>
      </c>
      <c r="AD14" s="34" t="str">
        <f t="shared" si="18"/>
        <v>-</v>
      </c>
      <c r="AE14" s="35" t="str">
        <f t="shared" si="30"/>
        <v>-</v>
      </c>
      <c r="AF14" s="35" t="str">
        <f t="shared" si="19"/>
        <v>-</v>
      </c>
      <c r="AG14" s="36" t="str">
        <f t="shared" si="20"/>
        <v>-</v>
      </c>
      <c r="AH14" s="34" t="str">
        <f t="shared" si="21"/>
        <v>-</v>
      </c>
      <c r="AI14" s="35" t="str">
        <f t="shared" si="31"/>
        <v>-</v>
      </c>
      <c r="AJ14" s="35" t="str">
        <f t="shared" si="22"/>
        <v>-</v>
      </c>
      <c r="AK14" s="36" t="str">
        <f t="shared" si="23"/>
        <v>-</v>
      </c>
      <c r="AL14" s="34" t="str">
        <f t="shared" si="32"/>
        <v>-</v>
      </c>
      <c r="AM14" s="35" t="str">
        <f t="shared" si="33"/>
        <v>-</v>
      </c>
      <c r="AN14" s="35" t="str">
        <f t="shared" si="34"/>
        <v>-</v>
      </c>
      <c r="AO14" s="36" t="str">
        <f t="shared" si="35"/>
        <v>-</v>
      </c>
    </row>
    <row r="15" spans="2:41" ht="15" x14ac:dyDescent="0.25">
      <c r="B15" s="418" t="s">
        <v>53</v>
      </c>
      <c r="C15" s="411">
        <v>1.3199999999999932</v>
      </c>
      <c r="D15" s="129" t="s">
        <v>122</v>
      </c>
      <c r="F15" s="34" t="str">
        <f t="shared" si="0"/>
        <v>-</v>
      </c>
      <c r="G15" s="35" t="str">
        <f t="shared" si="24"/>
        <v>-</v>
      </c>
      <c r="H15" s="35" t="str">
        <f t="shared" si="1"/>
        <v>-</v>
      </c>
      <c r="I15" s="36" t="str">
        <f t="shared" si="2"/>
        <v>-</v>
      </c>
      <c r="J15" s="34">
        <f t="shared" si="3"/>
        <v>1</v>
      </c>
      <c r="K15" s="35" t="str">
        <f t="shared" si="25"/>
        <v>-</v>
      </c>
      <c r="L15" s="35" t="str">
        <f t="shared" si="4"/>
        <v>-</v>
      </c>
      <c r="M15" s="36" t="str">
        <f t="shared" si="5"/>
        <v>-</v>
      </c>
      <c r="N15" s="34" t="str">
        <f t="shared" si="6"/>
        <v>-</v>
      </c>
      <c r="O15" s="35" t="str">
        <f t="shared" si="26"/>
        <v>-</v>
      </c>
      <c r="P15" s="35" t="str">
        <f t="shared" si="7"/>
        <v>-</v>
      </c>
      <c r="Q15" s="36" t="str">
        <f t="shared" si="8"/>
        <v>-</v>
      </c>
      <c r="R15" s="34" t="str">
        <f t="shared" si="9"/>
        <v>-</v>
      </c>
      <c r="S15" s="35" t="str">
        <f t="shared" si="27"/>
        <v>-</v>
      </c>
      <c r="T15" s="35" t="str">
        <f t="shared" si="10"/>
        <v>-</v>
      </c>
      <c r="U15" s="36" t="str">
        <f t="shared" si="11"/>
        <v>-</v>
      </c>
      <c r="V15" s="34" t="str">
        <f t="shared" si="12"/>
        <v>-</v>
      </c>
      <c r="W15" s="35" t="str">
        <f t="shared" si="28"/>
        <v>-</v>
      </c>
      <c r="X15" s="35" t="str">
        <f t="shared" si="13"/>
        <v>-</v>
      </c>
      <c r="Y15" s="36" t="str">
        <f t="shared" si="14"/>
        <v>-</v>
      </c>
      <c r="Z15" s="34" t="str">
        <f t="shared" si="15"/>
        <v>-</v>
      </c>
      <c r="AA15" s="35" t="str">
        <f t="shared" si="29"/>
        <v>-</v>
      </c>
      <c r="AB15" s="35" t="str">
        <f t="shared" si="16"/>
        <v>-</v>
      </c>
      <c r="AC15" s="36" t="str">
        <f t="shared" si="17"/>
        <v>-</v>
      </c>
      <c r="AD15" s="34" t="str">
        <f t="shared" si="18"/>
        <v>-</v>
      </c>
      <c r="AE15" s="35" t="str">
        <f t="shared" si="30"/>
        <v>-</v>
      </c>
      <c r="AF15" s="35" t="str">
        <f t="shared" si="19"/>
        <v>-</v>
      </c>
      <c r="AG15" s="36" t="str">
        <f t="shared" si="20"/>
        <v>-</v>
      </c>
      <c r="AH15" s="34" t="str">
        <f t="shared" si="21"/>
        <v>-</v>
      </c>
      <c r="AI15" s="35" t="str">
        <f t="shared" si="31"/>
        <v>-</v>
      </c>
      <c r="AJ15" s="35" t="str">
        <f t="shared" si="22"/>
        <v>-</v>
      </c>
      <c r="AK15" s="36" t="str">
        <f t="shared" si="23"/>
        <v>-</v>
      </c>
      <c r="AL15" s="34" t="str">
        <f t="shared" si="32"/>
        <v>-</v>
      </c>
      <c r="AM15" s="35" t="str">
        <f t="shared" si="33"/>
        <v>-</v>
      </c>
      <c r="AN15" s="35" t="str">
        <f t="shared" si="34"/>
        <v>-</v>
      </c>
      <c r="AO15" s="36" t="str">
        <f t="shared" si="35"/>
        <v>-</v>
      </c>
    </row>
    <row r="16" spans="2:41" ht="15" x14ac:dyDescent="0.25">
      <c r="B16" s="418" t="s">
        <v>416</v>
      </c>
      <c r="C16" s="411">
        <v>1.1999999999999957</v>
      </c>
      <c r="D16" s="129" t="s">
        <v>122</v>
      </c>
      <c r="F16" s="34">
        <f t="shared" si="0"/>
        <v>1</v>
      </c>
      <c r="G16" s="35" t="str">
        <f t="shared" si="24"/>
        <v>-</v>
      </c>
      <c r="H16" s="35" t="str">
        <f t="shared" si="1"/>
        <v>-</v>
      </c>
      <c r="I16" s="36" t="str">
        <f t="shared" si="2"/>
        <v>-</v>
      </c>
      <c r="J16" s="34" t="str">
        <f t="shared" si="3"/>
        <v>-</v>
      </c>
      <c r="K16" s="35" t="str">
        <f t="shared" si="25"/>
        <v>-</v>
      </c>
      <c r="L16" s="35" t="str">
        <f t="shared" si="4"/>
        <v>-</v>
      </c>
      <c r="M16" s="36" t="str">
        <f t="shared" si="5"/>
        <v>-</v>
      </c>
      <c r="N16" s="34" t="str">
        <f t="shared" si="6"/>
        <v>-</v>
      </c>
      <c r="O16" s="35" t="str">
        <f t="shared" si="26"/>
        <v>-</v>
      </c>
      <c r="P16" s="35" t="str">
        <f t="shared" si="7"/>
        <v>-</v>
      </c>
      <c r="Q16" s="36" t="str">
        <f t="shared" si="8"/>
        <v>-</v>
      </c>
      <c r="R16" s="34" t="str">
        <f t="shared" si="9"/>
        <v>-</v>
      </c>
      <c r="S16" s="35" t="str">
        <f t="shared" si="27"/>
        <v>-</v>
      </c>
      <c r="T16" s="35" t="str">
        <f t="shared" si="10"/>
        <v>-</v>
      </c>
      <c r="U16" s="36" t="str">
        <f t="shared" si="11"/>
        <v>-</v>
      </c>
      <c r="V16" s="34" t="str">
        <f t="shared" si="12"/>
        <v>-</v>
      </c>
      <c r="W16" s="35" t="str">
        <f t="shared" si="28"/>
        <v>-</v>
      </c>
      <c r="X16" s="35" t="str">
        <f t="shared" si="13"/>
        <v>-</v>
      </c>
      <c r="Y16" s="36" t="str">
        <f t="shared" si="14"/>
        <v>-</v>
      </c>
      <c r="Z16" s="34" t="str">
        <f t="shared" si="15"/>
        <v>-</v>
      </c>
      <c r="AA16" s="35" t="str">
        <f t="shared" si="29"/>
        <v>-</v>
      </c>
      <c r="AB16" s="35" t="str">
        <f t="shared" si="16"/>
        <v>-</v>
      </c>
      <c r="AC16" s="36" t="str">
        <f t="shared" si="17"/>
        <v>-</v>
      </c>
      <c r="AD16" s="34" t="str">
        <f t="shared" si="18"/>
        <v>-</v>
      </c>
      <c r="AE16" s="35" t="str">
        <f t="shared" si="30"/>
        <v>-</v>
      </c>
      <c r="AF16" s="35" t="str">
        <f t="shared" si="19"/>
        <v>-</v>
      </c>
      <c r="AG16" s="36" t="str">
        <f t="shared" si="20"/>
        <v>-</v>
      </c>
      <c r="AH16" s="34" t="str">
        <f t="shared" si="21"/>
        <v>-</v>
      </c>
      <c r="AI16" s="35" t="str">
        <f t="shared" si="31"/>
        <v>-</v>
      </c>
      <c r="AJ16" s="35" t="str">
        <f t="shared" si="22"/>
        <v>-</v>
      </c>
      <c r="AK16" s="36" t="str">
        <f t="shared" si="23"/>
        <v>-</v>
      </c>
      <c r="AL16" s="34" t="str">
        <f t="shared" si="32"/>
        <v>-</v>
      </c>
      <c r="AM16" s="35" t="str">
        <f t="shared" si="33"/>
        <v>-</v>
      </c>
      <c r="AN16" s="35" t="str">
        <f t="shared" si="34"/>
        <v>-</v>
      </c>
      <c r="AO16" s="36" t="str">
        <f t="shared" si="35"/>
        <v>-</v>
      </c>
    </row>
    <row r="17" spans="2:41" ht="15" x14ac:dyDescent="0.25">
      <c r="B17" s="418" t="s">
        <v>417</v>
      </c>
      <c r="C17" s="411">
        <v>1.2000000000000028</v>
      </c>
      <c r="D17" s="129" t="s">
        <v>122</v>
      </c>
      <c r="F17" s="34">
        <f t="shared" si="0"/>
        <v>1</v>
      </c>
      <c r="G17" s="35" t="str">
        <f t="shared" si="24"/>
        <v>-</v>
      </c>
      <c r="H17" s="35" t="str">
        <f t="shared" si="1"/>
        <v>-</v>
      </c>
      <c r="I17" s="36" t="str">
        <f t="shared" si="2"/>
        <v>-</v>
      </c>
      <c r="J17" s="34" t="str">
        <f t="shared" si="3"/>
        <v>-</v>
      </c>
      <c r="K17" s="35" t="str">
        <f t="shared" si="25"/>
        <v>-</v>
      </c>
      <c r="L17" s="35" t="str">
        <f t="shared" si="4"/>
        <v>-</v>
      </c>
      <c r="M17" s="36" t="str">
        <f t="shared" si="5"/>
        <v>-</v>
      </c>
      <c r="N17" s="34" t="str">
        <f t="shared" si="6"/>
        <v>-</v>
      </c>
      <c r="O17" s="35" t="str">
        <f t="shared" si="26"/>
        <v>-</v>
      </c>
      <c r="P17" s="35" t="str">
        <f t="shared" si="7"/>
        <v>-</v>
      </c>
      <c r="Q17" s="36" t="str">
        <f t="shared" si="8"/>
        <v>-</v>
      </c>
      <c r="R17" s="34" t="str">
        <f t="shared" si="9"/>
        <v>-</v>
      </c>
      <c r="S17" s="35" t="str">
        <f t="shared" si="27"/>
        <v>-</v>
      </c>
      <c r="T17" s="35" t="str">
        <f t="shared" si="10"/>
        <v>-</v>
      </c>
      <c r="U17" s="36" t="str">
        <f t="shared" si="11"/>
        <v>-</v>
      </c>
      <c r="V17" s="34" t="str">
        <f t="shared" si="12"/>
        <v>-</v>
      </c>
      <c r="W17" s="35" t="str">
        <f t="shared" si="28"/>
        <v>-</v>
      </c>
      <c r="X17" s="35" t="str">
        <f t="shared" si="13"/>
        <v>-</v>
      </c>
      <c r="Y17" s="36" t="str">
        <f t="shared" si="14"/>
        <v>-</v>
      </c>
      <c r="Z17" s="34" t="str">
        <f t="shared" si="15"/>
        <v>-</v>
      </c>
      <c r="AA17" s="35" t="str">
        <f t="shared" si="29"/>
        <v>-</v>
      </c>
      <c r="AB17" s="35" t="str">
        <f t="shared" si="16"/>
        <v>-</v>
      </c>
      <c r="AC17" s="36" t="str">
        <f t="shared" si="17"/>
        <v>-</v>
      </c>
      <c r="AD17" s="34" t="str">
        <f t="shared" si="18"/>
        <v>-</v>
      </c>
      <c r="AE17" s="35" t="str">
        <f t="shared" si="30"/>
        <v>-</v>
      </c>
      <c r="AF17" s="35" t="str">
        <f t="shared" si="19"/>
        <v>-</v>
      </c>
      <c r="AG17" s="36" t="str">
        <f t="shared" si="20"/>
        <v>-</v>
      </c>
      <c r="AH17" s="34" t="str">
        <f t="shared" si="21"/>
        <v>-</v>
      </c>
      <c r="AI17" s="35" t="str">
        <f t="shared" si="31"/>
        <v>-</v>
      </c>
      <c r="AJ17" s="35" t="str">
        <f t="shared" si="22"/>
        <v>-</v>
      </c>
      <c r="AK17" s="36" t="str">
        <f t="shared" si="23"/>
        <v>-</v>
      </c>
      <c r="AL17" s="34" t="str">
        <f t="shared" si="32"/>
        <v>-</v>
      </c>
      <c r="AM17" s="35" t="str">
        <f t="shared" si="33"/>
        <v>-</v>
      </c>
      <c r="AN17" s="35" t="str">
        <f t="shared" si="34"/>
        <v>-</v>
      </c>
      <c r="AO17" s="36" t="str">
        <f t="shared" si="35"/>
        <v>-</v>
      </c>
    </row>
    <row r="18" spans="2:41" ht="15" x14ac:dyDescent="0.25">
      <c r="B18" s="419" t="s">
        <v>54</v>
      </c>
      <c r="C18" s="413">
        <v>1.3900000000000006</v>
      </c>
      <c r="D18" s="420" t="s">
        <v>123</v>
      </c>
      <c r="F18" s="34" t="str">
        <f t="shared" si="0"/>
        <v>-</v>
      </c>
      <c r="G18" s="35" t="str">
        <f t="shared" si="24"/>
        <v>-</v>
      </c>
      <c r="H18" s="35" t="str">
        <f t="shared" si="1"/>
        <v>-</v>
      </c>
      <c r="I18" s="36" t="str">
        <f t="shared" si="2"/>
        <v>-</v>
      </c>
      <c r="J18" s="34" t="str">
        <f t="shared" si="3"/>
        <v>-</v>
      </c>
      <c r="K18" s="35" t="str">
        <f t="shared" si="25"/>
        <v>-</v>
      </c>
      <c r="L18" s="35" t="str">
        <f t="shared" si="4"/>
        <v>-</v>
      </c>
      <c r="M18" s="36">
        <f t="shared" si="5"/>
        <v>1</v>
      </c>
      <c r="N18" s="34" t="str">
        <f t="shared" si="6"/>
        <v>-</v>
      </c>
      <c r="O18" s="35" t="str">
        <f t="shared" si="26"/>
        <v>-</v>
      </c>
      <c r="P18" s="35" t="str">
        <f t="shared" si="7"/>
        <v>-</v>
      </c>
      <c r="Q18" s="36" t="str">
        <f t="shared" si="8"/>
        <v>-</v>
      </c>
      <c r="R18" s="34" t="str">
        <f t="shared" si="9"/>
        <v>-</v>
      </c>
      <c r="S18" s="35" t="str">
        <f t="shared" si="27"/>
        <v>-</v>
      </c>
      <c r="T18" s="35" t="str">
        <f t="shared" si="10"/>
        <v>-</v>
      </c>
      <c r="U18" s="36" t="str">
        <f t="shared" si="11"/>
        <v>-</v>
      </c>
      <c r="V18" s="34" t="str">
        <f t="shared" si="12"/>
        <v>-</v>
      </c>
      <c r="W18" s="35" t="str">
        <f t="shared" si="28"/>
        <v>-</v>
      </c>
      <c r="X18" s="35" t="str">
        <f t="shared" si="13"/>
        <v>-</v>
      </c>
      <c r="Y18" s="36" t="str">
        <f t="shared" si="14"/>
        <v>-</v>
      </c>
      <c r="Z18" s="34" t="str">
        <f t="shared" si="15"/>
        <v>-</v>
      </c>
      <c r="AA18" s="35" t="str">
        <f t="shared" si="29"/>
        <v>-</v>
      </c>
      <c r="AB18" s="35" t="str">
        <f t="shared" si="16"/>
        <v>-</v>
      </c>
      <c r="AC18" s="36" t="str">
        <f t="shared" si="17"/>
        <v>-</v>
      </c>
      <c r="AD18" s="34" t="str">
        <f t="shared" si="18"/>
        <v>-</v>
      </c>
      <c r="AE18" s="35" t="str">
        <f t="shared" si="30"/>
        <v>-</v>
      </c>
      <c r="AF18" s="35" t="str">
        <f t="shared" si="19"/>
        <v>-</v>
      </c>
      <c r="AG18" s="36" t="str">
        <f t="shared" si="20"/>
        <v>-</v>
      </c>
      <c r="AH18" s="34" t="str">
        <f t="shared" si="21"/>
        <v>-</v>
      </c>
      <c r="AI18" s="35" t="str">
        <f t="shared" si="31"/>
        <v>-</v>
      </c>
      <c r="AJ18" s="35" t="str">
        <f t="shared" si="22"/>
        <v>-</v>
      </c>
      <c r="AK18" s="36" t="str">
        <f t="shared" si="23"/>
        <v>-</v>
      </c>
      <c r="AL18" s="34" t="str">
        <f t="shared" si="32"/>
        <v>-</v>
      </c>
      <c r="AM18" s="35" t="str">
        <f t="shared" si="33"/>
        <v>-</v>
      </c>
      <c r="AN18" s="35" t="str">
        <f t="shared" si="34"/>
        <v>-</v>
      </c>
      <c r="AO18" s="36" t="str">
        <f t="shared" si="35"/>
        <v>-</v>
      </c>
    </row>
    <row r="19" spans="2:41" ht="15" x14ac:dyDescent="0.25">
      <c r="B19" s="421" t="s">
        <v>438</v>
      </c>
      <c r="C19" s="412">
        <v>1.56</v>
      </c>
      <c r="D19" s="417" t="s">
        <v>126</v>
      </c>
      <c r="F19" s="34" t="str">
        <f t="shared" si="0"/>
        <v>-</v>
      </c>
      <c r="G19" s="35" t="str">
        <f t="shared" si="24"/>
        <v>-</v>
      </c>
      <c r="H19" s="35" t="str">
        <f t="shared" si="1"/>
        <v>-</v>
      </c>
      <c r="I19" s="36" t="str">
        <f t="shared" si="2"/>
        <v>-</v>
      </c>
      <c r="J19" s="34" t="str">
        <f t="shared" si="3"/>
        <v>-</v>
      </c>
      <c r="K19" s="35" t="str">
        <f t="shared" si="25"/>
        <v>-</v>
      </c>
      <c r="L19" s="35" t="str">
        <f t="shared" si="4"/>
        <v>-</v>
      </c>
      <c r="M19" s="36" t="str">
        <f t="shared" si="5"/>
        <v>-</v>
      </c>
      <c r="N19" s="34" t="str">
        <f t="shared" si="6"/>
        <v>-</v>
      </c>
      <c r="O19" s="35" t="str">
        <f t="shared" si="26"/>
        <v>-</v>
      </c>
      <c r="P19" s="35">
        <f t="shared" si="7"/>
        <v>1</v>
      </c>
      <c r="Q19" s="36" t="str">
        <f t="shared" si="8"/>
        <v>-</v>
      </c>
      <c r="R19" s="34" t="str">
        <f t="shared" si="9"/>
        <v>-</v>
      </c>
      <c r="S19" s="35" t="str">
        <f t="shared" si="27"/>
        <v>-</v>
      </c>
      <c r="T19" s="35" t="str">
        <f t="shared" si="10"/>
        <v>-</v>
      </c>
      <c r="U19" s="36" t="str">
        <f t="shared" si="11"/>
        <v>-</v>
      </c>
      <c r="V19" s="34" t="str">
        <f t="shared" si="12"/>
        <v>-</v>
      </c>
      <c r="W19" s="35" t="str">
        <f t="shared" si="28"/>
        <v>-</v>
      </c>
      <c r="X19" s="35" t="str">
        <f t="shared" si="13"/>
        <v>-</v>
      </c>
      <c r="Y19" s="36" t="str">
        <f t="shared" si="14"/>
        <v>-</v>
      </c>
      <c r="Z19" s="34" t="str">
        <f t="shared" si="15"/>
        <v>-</v>
      </c>
      <c r="AA19" s="35" t="str">
        <f t="shared" si="29"/>
        <v>-</v>
      </c>
      <c r="AB19" s="35" t="str">
        <f t="shared" si="16"/>
        <v>-</v>
      </c>
      <c r="AC19" s="36" t="str">
        <f t="shared" si="17"/>
        <v>-</v>
      </c>
      <c r="AD19" s="34" t="str">
        <f t="shared" si="18"/>
        <v>-</v>
      </c>
      <c r="AE19" s="35" t="str">
        <f t="shared" si="30"/>
        <v>-</v>
      </c>
      <c r="AF19" s="35" t="str">
        <f t="shared" si="19"/>
        <v>-</v>
      </c>
      <c r="AG19" s="36" t="str">
        <f t="shared" si="20"/>
        <v>-</v>
      </c>
      <c r="AH19" s="34" t="str">
        <f t="shared" si="21"/>
        <v>-</v>
      </c>
      <c r="AI19" s="35" t="str">
        <f t="shared" si="31"/>
        <v>-</v>
      </c>
      <c r="AJ19" s="35" t="str">
        <f t="shared" si="22"/>
        <v>-</v>
      </c>
      <c r="AK19" s="36" t="str">
        <f t="shared" si="23"/>
        <v>-</v>
      </c>
      <c r="AL19" s="34" t="str">
        <f t="shared" si="32"/>
        <v>-</v>
      </c>
      <c r="AM19" s="35" t="str">
        <f t="shared" si="33"/>
        <v>-</v>
      </c>
      <c r="AN19" s="35" t="str">
        <f t="shared" si="34"/>
        <v>-</v>
      </c>
      <c r="AO19" s="36" t="str">
        <f t="shared" si="35"/>
        <v>-</v>
      </c>
    </row>
    <row r="20" spans="2:41" ht="15" x14ac:dyDescent="0.25">
      <c r="B20" s="419" t="s">
        <v>55</v>
      </c>
      <c r="C20" s="413">
        <v>1.1599999999999966</v>
      </c>
      <c r="D20" s="420" t="s">
        <v>123</v>
      </c>
      <c r="F20" s="34" t="str">
        <f t="shared" si="0"/>
        <v>-</v>
      </c>
      <c r="G20" s="35" t="str">
        <f t="shared" si="24"/>
        <v>-</v>
      </c>
      <c r="H20" s="35" t="str">
        <f t="shared" si="1"/>
        <v>-</v>
      </c>
      <c r="I20" s="36">
        <f t="shared" si="2"/>
        <v>1</v>
      </c>
      <c r="J20" s="34" t="str">
        <f t="shared" si="3"/>
        <v>-</v>
      </c>
      <c r="K20" s="35" t="str">
        <f t="shared" si="25"/>
        <v>-</v>
      </c>
      <c r="L20" s="35" t="str">
        <f t="shared" si="4"/>
        <v>-</v>
      </c>
      <c r="M20" s="36" t="str">
        <f t="shared" si="5"/>
        <v>-</v>
      </c>
      <c r="N20" s="34" t="str">
        <f t="shared" si="6"/>
        <v>-</v>
      </c>
      <c r="O20" s="35" t="str">
        <f t="shared" si="26"/>
        <v>-</v>
      </c>
      <c r="P20" s="35" t="str">
        <f t="shared" si="7"/>
        <v>-</v>
      </c>
      <c r="Q20" s="36" t="str">
        <f t="shared" si="8"/>
        <v>-</v>
      </c>
      <c r="R20" s="34" t="str">
        <f t="shared" si="9"/>
        <v>-</v>
      </c>
      <c r="S20" s="35" t="str">
        <f t="shared" si="27"/>
        <v>-</v>
      </c>
      <c r="T20" s="35" t="str">
        <f t="shared" si="10"/>
        <v>-</v>
      </c>
      <c r="U20" s="36" t="str">
        <f t="shared" si="11"/>
        <v>-</v>
      </c>
      <c r="V20" s="34" t="str">
        <f t="shared" si="12"/>
        <v>-</v>
      </c>
      <c r="W20" s="35" t="str">
        <f t="shared" si="28"/>
        <v>-</v>
      </c>
      <c r="X20" s="35" t="str">
        <f t="shared" si="13"/>
        <v>-</v>
      </c>
      <c r="Y20" s="36" t="str">
        <f t="shared" si="14"/>
        <v>-</v>
      </c>
      <c r="Z20" s="34" t="str">
        <f t="shared" si="15"/>
        <v>-</v>
      </c>
      <c r="AA20" s="35" t="str">
        <f t="shared" si="29"/>
        <v>-</v>
      </c>
      <c r="AB20" s="35" t="str">
        <f t="shared" si="16"/>
        <v>-</v>
      </c>
      <c r="AC20" s="36" t="str">
        <f t="shared" si="17"/>
        <v>-</v>
      </c>
      <c r="AD20" s="34" t="str">
        <f t="shared" si="18"/>
        <v>-</v>
      </c>
      <c r="AE20" s="35" t="str">
        <f t="shared" si="30"/>
        <v>-</v>
      </c>
      <c r="AF20" s="35" t="str">
        <f t="shared" si="19"/>
        <v>-</v>
      </c>
      <c r="AG20" s="36" t="str">
        <f t="shared" si="20"/>
        <v>-</v>
      </c>
      <c r="AH20" s="34" t="str">
        <f t="shared" si="21"/>
        <v>-</v>
      </c>
      <c r="AI20" s="35" t="str">
        <f t="shared" si="31"/>
        <v>-</v>
      </c>
      <c r="AJ20" s="35" t="str">
        <f t="shared" si="22"/>
        <v>-</v>
      </c>
      <c r="AK20" s="36" t="str">
        <f t="shared" si="23"/>
        <v>-</v>
      </c>
      <c r="AL20" s="34" t="str">
        <f t="shared" si="32"/>
        <v>-</v>
      </c>
      <c r="AM20" s="35" t="str">
        <f t="shared" si="33"/>
        <v>-</v>
      </c>
      <c r="AN20" s="35" t="str">
        <f t="shared" si="34"/>
        <v>-</v>
      </c>
      <c r="AO20" s="36" t="str">
        <f t="shared" si="35"/>
        <v>-</v>
      </c>
    </row>
    <row r="21" spans="2:41" ht="15" x14ac:dyDescent="0.25">
      <c r="B21" s="421" t="s">
        <v>439</v>
      </c>
      <c r="C21" s="412">
        <v>1.1200000000000001</v>
      </c>
      <c r="D21" s="417" t="s">
        <v>126</v>
      </c>
      <c r="F21" s="34" t="str">
        <f t="shared" si="0"/>
        <v>-</v>
      </c>
      <c r="G21" s="35" t="str">
        <f t="shared" si="24"/>
        <v>-</v>
      </c>
      <c r="H21" s="35">
        <f t="shared" si="1"/>
        <v>1</v>
      </c>
      <c r="I21" s="36" t="str">
        <f t="shared" si="2"/>
        <v>-</v>
      </c>
      <c r="J21" s="34" t="str">
        <f t="shared" si="3"/>
        <v>-</v>
      </c>
      <c r="K21" s="35" t="str">
        <f t="shared" si="25"/>
        <v>-</v>
      </c>
      <c r="L21" s="35" t="str">
        <f t="shared" si="4"/>
        <v>-</v>
      </c>
      <c r="M21" s="36" t="str">
        <f t="shared" si="5"/>
        <v>-</v>
      </c>
      <c r="N21" s="34" t="str">
        <f t="shared" si="6"/>
        <v>-</v>
      </c>
      <c r="O21" s="35" t="str">
        <f t="shared" si="26"/>
        <v>-</v>
      </c>
      <c r="P21" s="35" t="str">
        <f t="shared" si="7"/>
        <v>-</v>
      </c>
      <c r="Q21" s="36" t="str">
        <f t="shared" si="8"/>
        <v>-</v>
      </c>
      <c r="R21" s="34" t="str">
        <f t="shared" si="9"/>
        <v>-</v>
      </c>
      <c r="S21" s="35" t="str">
        <f t="shared" si="27"/>
        <v>-</v>
      </c>
      <c r="T21" s="35" t="str">
        <f t="shared" si="10"/>
        <v>-</v>
      </c>
      <c r="U21" s="36" t="str">
        <f t="shared" si="11"/>
        <v>-</v>
      </c>
      <c r="V21" s="34" t="str">
        <f t="shared" si="12"/>
        <v>-</v>
      </c>
      <c r="W21" s="35" t="str">
        <f t="shared" si="28"/>
        <v>-</v>
      </c>
      <c r="X21" s="35" t="str">
        <f t="shared" si="13"/>
        <v>-</v>
      </c>
      <c r="Y21" s="36" t="str">
        <f t="shared" si="14"/>
        <v>-</v>
      </c>
      <c r="Z21" s="34" t="str">
        <f t="shared" si="15"/>
        <v>-</v>
      </c>
      <c r="AA21" s="35" t="str">
        <f t="shared" si="29"/>
        <v>-</v>
      </c>
      <c r="AB21" s="35" t="str">
        <f t="shared" si="16"/>
        <v>-</v>
      </c>
      <c r="AC21" s="36" t="str">
        <f t="shared" si="17"/>
        <v>-</v>
      </c>
      <c r="AD21" s="34" t="str">
        <f t="shared" si="18"/>
        <v>-</v>
      </c>
      <c r="AE21" s="35" t="str">
        <f t="shared" si="30"/>
        <v>-</v>
      </c>
      <c r="AF21" s="35" t="str">
        <f t="shared" si="19"/>
        <v>-</v>
      </c>
      <c r="AG21" s="36" t="str">
        <f t="shared" si="20"/>
        <v>-</v>
      </c>
      <c r="AH21" s="34" t="str">
        <f t="shared" si="21"/>
        <v>-</v>
      </c>
      <c r="AI21" s="35" t="str">
        <f t="shared" si="31"/>
        <v>-</v>
      </c>
      <c r="AJ21" s="35" t="str">
        <f t="shared" si="22"/>
        <v>-</v>
      </c>
      <c r="AK21" s="36" t="str">
        <f t="shared" si="23"/>
        <v>-</v>
      </c>
      <c r="AL21" s="34" t="str">
        <f t="shared" si="32"/>
        <v>-</v>
      </c>
      <c r="AM21" s="35" t="str">
        <f t="shared" si="33"/>
        <v>-</v>
      </c>
      <c r="AN21" s="35" t="str">
        <f t="shared" si="34"/>
        <v>-</v>
      </c>
      <c r="AO21" s="36" t="str">
        <f t="shared" si="35"/>
        <v>-</v>
      </c>
    </row>
    <row r="22" spans="2:41" ht="15" x14ac:dyDescent="0.25">
      <c r="B22" s="419" t="s">
        <v>56</v>
      </c>
      <c r="C22" s="413">
        <v>1.259999999999998</v>
      </c>
      <c r="D22" s="420" t="s">
        <v>123</v>
      </c>
      <c r="F22" s="34" t="str">
        <f t="shared" si="0"/>
        <v>-</v>
      </c>
      <c r="G22" s="35" t="str">
        <f t="shared" si="24"/>
        <v>-</v>
      </c>
      <c r="H22" s="35" t="str">
        <f t="shared" si="1"/>
        <v>-</v>
      </c>
      <c r="I22" s="36" t="str">
        <f t="shared" si="2"/>
        <v>-</v>
      </c>
      <c r="J22" s="34" t="str">
        <f t="shared" si="3"/>
        <v>-</v>
      </c>
      <c r="K22" s="35" t="str">
        <f t="shared" si="25"/>
        <v>-</v>
      </c>
      <c r="L22" s="35" t="str">
        <f t="shared" si="4"/>
        <v>-</v>
      </c>
      <c r="M22" s="36">
        <f t="shared" si="5"/>
        <v>1</v>
      </c>
      <c r="N22" s="34" t="str">
        <f t="shared" si="6"/>
        <v>-</v>
      </c>
      <c r="O22" s="35" t="str">
        <f t="shared" si="26"/>
        <v>-</v>
      </c>
      <c r="P22" s="35" t="str">
        <f t="shared" si="7"/>
        <v>-</v>
      </c>
      <c r="Q22" s="36" t="str">
        <f t="shared" si="8"/>
        <v>-</v>
      </c>
      <c r="R22" s="34" t="str">
        <f t="shared" si="9"/>
        <v>-</v>
      </c>
      <c r="S22" s="35" t="str">
        <f t="shared" si="27"/>
        <v>-</v>
      </c>
      <c r="T22" s="35" t="str">
        <f t="shared" si="10"/>
        <v>-</v>
      </c>
      <c r="U22" s="36" t="str">
        <f t="shared" si="11"/>
        <v>-</v>
      </c>
      <c r="V22" s="34" t="str">
        <f t="shared" si="12"/>
        <v>-</v>
      </c>
      <c r="W22" s="35" t="str">
        <f t="shared" si="28"/>
        <v>-</v>
      </c>
      <c r="X22" s="35" t="str">
        <f t="shared" si="13"/>
        <v>-</v>
      </c>
      <c r="Y22" s="36" t="str">
        <f t="shared" si="14"/>
        <v>-</v>
      </c>
      <c r="Z22" s="34" t="str">
        <f t="shared" si="15"/>
        <v>-</v>
      </c>
      <c r="AA22" s="35" t="str">
        <f t="shared" si="29"/>
        <v>-</v>
      </c>
      <c r="AB22" s="35" t="str">
        <f t="shared" si="16"/>
        <v>-</v>
      </c>
      <c r="AC22" s="36" t="str">
        <f t="shared" si="17"/>
        <v>-</v>
      </c>
      <c r="AD22" s="34" t="str">
        <f t="shared" si="18"/>
        <v>-</v>
      </c>
      <c r="AE22" s="35" t="str">
        <f t="shared" si="30"/>
        <v>-</v>
      </c>
      <c r="AF22" s="35" t="str">
        <f t="shared" si="19"/>
        <v>-</v>
      </c>
      <c r="AG22" s="36" t="str">
        <f t="shared" si="20"/>
        <v>-</v>
      </c>
      <c r="AH22" s="34" t="str">
        <f t="shared" si="21"/>
        <v>-</v>
      </c>
      <c r="AI22" s="35" t="str">
        <f t="shared" si="31"/>
        <v>-</v>
      </c>
      <c r="AJ22" s="35" t="str">
        <f t="shared" si="22"/>
        <v>-</v>
      </c>
      <c r="AK22" s="36" t="str">
        <f t="shared" si="23"/>
        <v>-</v>
      </c>
      <c r="AL22" s="34" t="str">
        <f t="shared" si="32"/>
        <v>-</v>
      </c>
      <c r="AM22" s="35" t="str">
        <f t="shared" si="33"/>
        <v>-</v>
      </c>
      <c r="AN22" s="35" t="str">
        <f t="shared" si="34"/>
        <v>-</v>
      </c>
      <c r="AO22" s="36" t="str">
        <f t="shared" si="35"/>
        <v>-</v>
      </c>
    </row>
    <row r="23" spans="2:41" ht="15" x14ac:dyDescent="0.25">
      <c r="B23" s="422" t="s">
        <v>459</v>
      </c>
      <c r="C23" s="412">
        <v>1.22</v>
      </c>
      <c r="D23" s="423" t="s">
        <v>127</v>
      </c>
      <c r="F23" s="34" t="str">
        <f t="shared" si="0"/>
        <v>-</v>
      </c>
      <c r="G23" s="35">
        <f t="shared" si="24"/>
        <v>1</v>
      </c>
      <c r="H23" s="35" t="str">
        <f t="shared" si="1"/>
        <v>-</v>
      </c>
      <c r="I23" s="36" t="str">
        <f t="shared" si="2"/>
        <v>-</v>
      </c>
      <c r="J23" s="34" t="str">
        <f t="shared" si="3"/>
        <v>-</v>
      </c>
      <c r="K23" s="35" t="str">
        <f t="shared" si="25"/>
        <v>-</v>
      </c>
      <c r="L23" s="35" t="str">
        <f t="shared" si="4"/>
        <v>-</v>
      </c>
      <c r="M23" s="36" t="str">
        <f t="shared" si="5"/>
        <v>-</v>
      </c>
      <c r="N23" s="34" t="str">
        <f t="shared" si="6"/>
        <v>-</v>
      </c>
      <c r="O23" s="35" t="str">
        <f t="shared" si="26"/>
        <v>-</v>
      </c>
      <c r="P23" s="35" t="str">
        <f t="shared" si="7"/>
        <v>-</v>
      </c>
      <c r="Q23" s="36" t="str">
        <f t="shared" si="8"/>
        <v>-</v>
      </c>
      <c r="R23" s="34" t="str">
        <f t="shared" si="9"/>
        <v>-</v>
      </c>
      <c r="S23" s="35" t="str">
        <f t="shared" si="27"/>
        <v>-</v>
      </c>
      <c r="T23" s="35" t="str">
        <f t="shared" si="10"/>
        <v>-</v>
      </c>
      <c r="U23" s="36" t="str">
        <f t="shared" si="11"/>
        <v>-</v>
      </c>
      <c r="V23" s="34" t="str">
        <f t="shared" si="12"/>
        <v>-</v>
      </c>
      <c r="W23" s="35" t="str">
        <f t="shared" si="28"/>
        <v>-</v>
      </c>
      <c r="X23" s="35" t="str">
        <f t="shared" si="13"/>
        <v>-</v>
      </c>
      <c r="Y23" s="36" t="str">
        <f t="shared" si="14"/>
        <v>-</v>
      </c>
      <c r="Z23" s="34" t="str">
        <f t="shared" si="15"/>
        <v>-</v>
      </c>
      <c r="AA23" s="35" t="str">
        <f t="shared" si="29"/>
        <v>-</v>
      </c>
      <c r="AB23" s="35" t="str">
        <f t="shared" si="16"/>
        <v>-</v>
      </c>
      <c r="AC23" s="36" t="str">
        <f t="shared" si="17"/>
        <v>-</v>
      </c>
      <c r="AD23" s="34" t="str">
        <f t="shared" si="18"/>
        <v>-</v>
      </c>
      <c r="AE23" s="35" t="str">
        <f t="shared" si="30"/>
        <v>-</v>
      </c>
      <c r="AF23" s="35" t="str">
        <f t="shared" si="19"/>
        <v>-</v>
      </c>
      <c r="AG23" s="36" t="str">
        <f t="shared" si="20"/>
        <v>-</v>
      </c>
      <c r="AH23" s="34" t="str">
        <f t="shared" si="21"/>
        <v>-</v>
      </c>
      <c r="AI23" s="35" t="str">
        <f t="shared" si="31"/>
        <v>-</v>
      </c>
      <c r="AJ23" s="35" t="str">
        <f t="shared" si="22"/>
        <v>-</v>
      </c>
      <c r="AK23" s="36" t="str">
        <f t="shared" si="23"/>
        <v>-</v>
      </c>
      <c r="AL23" s="34" t="str">
        <f t="shared" si="32"/>
        <v>-</v>
      </c>
      <c r="AM23" s="35" t="str">
        <f t="shared" si="33"/>
        <v>-</v>
      </c>
      <c r="AN23" s="35" t="str">
        <f t="shared" si="34"/>
        <v>-</v>
      </c>
      <c r="AO23" s="36" t="str">
        <f t="shared" si="35"/>
        <v>-</v>
      </c>
    </row>
    <row r="24" spans="2:41" ht="15" x14ac:dyDescent="0.25">
      <c r="B24" s="419" t="s">
        <v>57</v>
      </c>
      <c r="C24" s="413">
        <v>1.269999999999996</v>
      </c>
      <c r="D24" s="420" t="s">
        <v>123</v>
      </c>
      <c r="F24" s="34" t="str">
        <f t="shared" si="0"/>
        <v>-</v>
      </c>
      <c r="G24" s="35" t="str">
        <f t="shared" si="24"/>
        <v>-</v>
      </c>
      <c r="H24" s="35" t="str">
        <f t="shared" si="1"/>
        <v>-</v>
      </c>
      <c r="I24" s="36" t="str">
        <f t="shared" si="2"/>
        <v>-</v>
      </c>
      <c r="J24" s="34" t="str">
        <f t="shared" si="3"/>
        <v>-</v>
      </c>
      <c r="K24" s="35" t="str">
        <f t="shared" si="25"/>
        <v>-</v>
      </c>
      <c r="L24" s="35" t="str">
        <f t="shared" si="4"/>
        <v>-</v>
      </c>
      <c r="M24" s="36">
        <f t="shared" si="5"/>
        <v>1</v>
      </c>
      <c r="N24" s="34" t="str">
        <f t="shared" si="6"/>
        <v>-</v>
      </c>
      <c r="O24" s="35" t="str">
        <f t="shared" si="26"/>
        <v>-</v>
      </c>
      <c r="P24" s="35" t="str">
        <f t="shared" si="7"/>
        <v>-</v>
      </c>
      <c r="Q24" s="36" t="str">
        <f t="shared" si="8"/>
        <v>-</v>
      </c>
      <c r="R24" s="34" t="str">
        <f t="shared" si="9"/>
        <v>-</v>
      </c>
      <c r="S24" s="35" t="str">
        <f t="shared" si="27"/>
        <v>-</v>
      </c>
      <c r="T24" s="35" t="str">
        <f t="shared" si="10"/>
        <v>-</v>
      </c>
      <c r="U24" s="36" t="str">
        <f t="shared" si="11"/>
        <v>-</v>
      </c>
      <c r="V24" s="34" t="str">
        <f t="shared" si="12"/>
        <v>-</v>
      </c>
      <c r="W24" s="35" t="str">
        <f t="shared" si="28"/>
        <v>-</v>
      </c>
      <c r="X24" s="35" t="str">
        <f t="shared" si="13"/>
        <v>-</v>
      </c>
      <c r="Y24" s="36" t="str">
        <f t="shared" si="14"/>
        <v>-</v>
      </c>
      <c r="Z24" s="34" t="str">
        <f t="shared" si="15"/>
        <v>-</v>
      </c>
      <c r="AA24" s="35" t="str">
        <f t="shared" si="29"/>
        <v>-</v>
      </c>
      <c r="AB24" s="35" t="str">
        <f t="shared" si="16"/>
        <v>-</v>
      </c>
      <c r="AC24" s="36" t="str">
        <f t="shared" si="17"/>
        <v>-</v>
      </c>
      <c r="AD24" s="34" t="str">
        <f t="shared" si="18"/>
        <v>-</v>
      </c>
      <c r="AE24" s="35" t="str">
        <f t="shared" si="30"/>
        <v>-</v>
      </c>
      <c r="AF24" s="35" t="str">
        <f t="shared" si="19"/>
        <v>-</v>
      </c>
      <c r="AG24" s="36" t="str">
        <f t="shared" si="20"/>
        <v>-</v>
      </c>
      <c r="AH24" s="34" t="str">
        <f t="shared" si="21"/>
        <v>-</v>
      </c>
      <c r="AI24" s="35" t="str">
        <f t="shared" si="31"/>
        <v>-</v>
      </c>
      <c r="AJ24" s="35" t="str">
        <f t="shared" si="22"/>
        <v>-</v>
      </c>
      <c r="AK24" s="36" t="str">
        <f t="shared" si="23"/>
        <v>-</v>
      </c>
      <c r="AL24" s="34" t="str">
        <f t="shared" si="32"/>
        <v>-</v>
      </c>
      <c r="AM24" s="35" t="str">
        <f t="shared" si="33"/>
        <v>-</v>
      </c>
      <c r="AN24" s="35" t="str">
        <f t="shared" si="34"/>
        <v>-</v>
      </c>
      <c r="AO24" s="36" t="str">
        <f t="shared" si="35"/>
        <v>-</v>
      </c>
    </row>
    <row r="25" spans="2:41" ht="15" x14ac:dyDescent="0.25">
      <c r="B25" s="421" t="s">
        <v>460</v>
      </c>
      <c r="C25" s="412">
        <v>1.35</v>
      </c>
      <c r="D25" s="417" t="s">
        <v>126</v>
      </c>
      <c r="F25" s="34" t="str">
        <f t="shared" si="0"/>
        <v>-</v>
      </c>
      <c r="G25" s="35" t="str">
        <f t="shared" si="24"/>
        <v>-</v>
      </c>
      <c r="H25" s="35" t="str">
        <f t="shared" si="1"/>
        <v>-</v>
      </c>
      <c r="I25" s="36" t="str">
        <f t="shared" si="2"/>
        <v>-</v>
      </c>
      <c r="J25" s="34" t="str">
        <f t="shared" si="3"/>
        <v>-</v>
      </c>
      <c r="K25" s="35" t="str">
        <f t="shared" si="25"/>
        <v>-</v>
      </c>
      <c r="L25" s="35">
        <f t="shared" si="4"/>
        <v>1</v>
      </c>
      <c r="M25" s="36" t="str">
        <f t="shared" si="5"/>
        <v>-</v>
      </c>
      <c r="N25" s="34" t="str">
        <f t="shared" si="6"/>
        <v>-</v>
      </c>
      <c r="O25" s="35" t="str">
        <f t="shared" si="26"/>
        <v>-</v>
      </c>
      <c r="P25" s="35" t="str">
        <f t="shared" si="7"/>
        <v>-</v>
      </c>
      <c r="Q25" s="36" t="str">
        <f t="shared" si="8"/>
        <v>-</v>
      </c>
      <c r="R25" s="34" t="str">
        <f t="shared" si="9"/>
        <v>-</v>
      </c>
      <c r="S25" s="35" t="str">
        <f t="shared" si="27"/>
        <v>-</v>
      </c>
      <c r="T25" s="35" t="str">
        <f t="shared" si="10"/>
        <v>-</v>
      </c>
      <c r="U25" s="36" t="str">
        <f t="shared" si="11"/>
        <v>-</v>
      </c>
      <c r="V25" s="34" t="str">
        <f t="shared" si="12"/>
        <v>-</v>
      </c>
      <c r="W25" s="35" t="str">
        <f t="shared" si="28"/>
        <v>-</v>
      </c>
      <c r="X25" s="35" t="str">
        <f t="shared" si="13"/>
        <v>-</v>
      </c>
      <c r="Y25" s="36" t="str">
        <f t="shared" si="14"/>
        <v>-</v>
      </c>
      <c r="Z25" s="34" t="str">
        <f t="shared" si="15"/>
        <v>-</v>
      </c>
      <c r="AA25" s="35" t="str">
        <f t="shared" si="29"/>
        <v>-</v>
      </c>
      <c r="AB25" s="35" t="str">
        <f t="shared" si="16"/>
        <v>-</v>
      </c>
      <c r="AC25" s="36" t="str">
        <f t="shared" si="17"/>
        <v>-</v>
      </c>
      <c r="AD25" s="34" t="str">
        <f t="shared" si="18"/>
        <v>-</v>
      </c>
      <c r="AE25" s="35" t="str">
        <f t="shared" si="30"/>
        <v>-</v>
      </c>
      <c r="AF25" s="35" t="str">
        <f t="shared" si="19"/>
        <v>-</v>
      </c>
      <c r="AG25" s="36" t="str">
        <f t="shared" si="20"/>
        <v>-</v>
      </c>
      <c r="AH25" s="34" t="str">
        <f t="shared" si="21"/>
        <v>-</v>
      </c>
      <c r="AI25" s="35" t="str">
        <f t="shared" si="31"/>
        <v>-</v>
      </c>
      <c r="AJ25" s="35" t="str">
        <f t="shared" si="22"/>
        <v>-</v>
      </c>
      <c r="AK25" s="36" t="str">
        <f t="shared" si="23"/>
        <v>-</v>
      </c>
      <c r="AL25" s="34" t="str">
        <f t="shared" si="32"/>
        <v>-</v>
      </c>
      <c r="AM25" s="35" t="str">
        <f t="shared" si="33"/>
        <v>-</v>
      </c>
      <c r="AN25" s="35" t="str">
        <f t="shared" si="34"/>
        <v>-</v>
      </c>
      <c r="AO25" s="36" t="str">
        <f t="shared" si="35"/>
        <v>-</v>
      </c>
    </row>
    <row r="26" spans="2:41" ht="15" x14ac:dyDescent="0.25">
      <c r="B26" s="418" t="s">
        <v>58</v>
      </c>
      <c r="C26" s="411">
        <v>1.8399999999999963</v>
      </c>
      <c r="D26" s="424" t="s">
        <v>122</v>
      </c>
      <c r="F26" s="34" t="str">
        <f t="shared" si="0"/>
        <v>-</v>
      </c>
      <c r="G26" s="35" t="str">
        <f t="shared" si="24"/>
        <v>-</v>
      </c>
      <c r="H26" s="35" t="str">
        <f t="shared" si="1"/>
        <v>-</v>
      </c>
      <c r="I26" s="36" t="str">
        <f t="shared" si="2"/>
        <v>-</v>
      </c>
      <c r="J26" s="34" t="str">
        <f t="shared" si="3"/>
        <v>-</v>
      </c>
      <c r="K26" s="35" t="str">
        <f t="shared" si="25"/>
        <v>-</v>
      </c>
      <c r="L26" s="35" t="str">
        <f t="shared" si="4"/>
        <v>-</v>
      </c>
      <c r="M26" s="36" t="str">
        <f t="shared" si="5"/>
        <v>-</v>
      </c>
      <c r="N26" s="34" t="str">
        <f t="shared" si="6"/>
        <v>-</v>
      </c>
      <c r="O26" s="35" t="str">
        <f t="shared" si="26"/>
        <v>-</v>
      </c>
      <c r="P26" s="35" t="str">
        <f t="shared" si="7"/>
        <v>-</v>
      </c>
      <c r="Q26" s="36" t="str">
        <f t="shared" si="8"/>
        <v>-</v>
      </c>
      <c r="R26" s="34">
        <f t="shared" si="9"/>
        <v>1</v>
      </c>
      <c r="S26" s="35" t="str">
        <f t="shared" si="27"/>
        <v>-</v>
      </c>
      <c r="T26" s="35" t="str">
        <f t="shared" si="10"/>
        <v>-</v>
      </c>
      <c r="U26" s="36" t="str">
        <f t="shared" si="11"/>
        <v>-</v>
      </c>
      <c r="V26" s="34" t="str">
        <f t="shared" si="12"/>
        <v>-</v>
      </c>
      <c r="W26" s="35" t="str">
        <f t="shared" si="28"/>
        <v>-</v>
      </c>
      <c r="X26" s="35" t="str">
        <f t="shared" si="13"/>
        <v>-</v>
      </c>
      <c r="Y26" s="36" t="str">
        <f t="shared" si="14"/>
        <v>-</v>
      </c>
      <c r="Z26" s="34" t="str">
        <f t="shared" si="15"/>
        <v>-</v>
      </c>
      <c r="AA26" s="35" t="str">
        <f t="shared" si="29"/>
        <v>-</v>
      </c>
      <c r="AB26" s="35" t="str">
        <f t="shared" si="16"/>
        <v>-</v>
      </c>
      <c r="AC26" s="36" t="str">
        <f t="shared" si="17"/>
        <v>-</v>
      </c>
      <c r="AD26" s="34" t="str">
        <f t="shared" si="18"/>
        <v>-</v>
      </c>
      <c r="AE26" s="35" t="str">
        <f t="shared" si="30"/>
        <v>-</v>
      </c>
      <c r="AF26" s="35" t="str">
        <f t="shared" si="19"/>
        <v>-</v>
      </c>
      <c r="AG26" s="36" t="str">
        <f t="shared" si="20"/>
        <v>-</v>
      </c>
      <c r="AH26" s="34" t="str">
        <f t="shared" si="21"/>
        <v>-</v>
      </c>
      <c r="AI26" s="35" t="str">
        <f t="shared" si="31"/>
        <v>-</v>
      </c>
      <c r="AJ26" s="35" t="str">
        <f t="shared" si="22"/>
        <v>-</v>
      </c>
      <c r="AK26" s="36" t="str">
        <f t="shared" si="23"/>
        <v>-</v>
      </c>
      <c r="AL26" s="34" t="str">
        <f t="shared" si="32"/>
        <v>-</v>
      </c>
      <c r="AM26" s="35" t="str">
        <f t="shared" si="33"/>
        <v>-</v>
      </c>
      <c r="AN26" s="35" t="str">
        <f t="shared" si="34"/>
        <v>-</v>
      </c>
      <c r="AO26" s="36" t="str">
        <f t="shared" si="35"/>
        <v>-</v>
      </c>
    </row>
    <row r="27" spans="2:41" ht="15" x14ac:dyDescent="0.25">
      <c r="B27" s="418" t="s">
        <v>59</v>
      </c>
      <c r="C27" s="411">
        <v>2.1499999999999986</v>
      </c>
      <c r="D27" s="424" t="s">
        <v>122</v>
      </c>
      <c r="F27" s="34" t="str">
        <f t="shared" si="0"/>
        <v>-</v>
      </c>
      <c r="G27" s="35" t="str">
        <f t="shared" si="24"/>
        <v>-</v>
      </c>
      <c r="H27" s="35" t="str">
        <f t="shared" si="1"/>
        <v>-</v>
      </c>
      <c r="I27" s="36" t="str">
        <f t="shared" si="2"/>
        <v>-</v>
      </c>
      <c r="J27" s="34" t="str">
        <f t="shared" si="3"/>
        <v>-</v>
      </c>
      <c r="K27" s="35" t="str">
        <f t="shared" si="25"/>
        <v>-</v>
      </c>
      <c r="L27" s="35" t="str">
        <f t="shared" si="4"/>
        <v>-</v>
      </c>
      <c r="M27" s="36" t="str">
        <f t="shared" si="5"/>
        <v>-</v>
      </c>
      <c r="N27" s="34" t="str">
        <f t="shared" si="6"/>
        <v>-</v>
      </c>
      <c r="O27" s="35" t="str">
        <f t="shared" si="26"/>
        <v>-</v>
      </c>
      <c r="P27" s="35" t="str">
        <f t="shared" si="7"/>
        <v>-</v>
      </c>
      <c r="Q27" s="36" t="str">
        <f t="shared" si="8"/>
        <v>-</v>
      </c>
      <c r="R27" s="34" t="str">
        <f t="shared" si="9"/>
        <v>-</v>
      </c>
      <c r="S27" s="35" t="str">
        <f t="shared" si="27"/>
        <v>-</v>
      </c>
      <c r="T27" s="35" t="str">
        <f t="shared" si="10"/>
        <v>-</v>
      </c>
      <c r="U27" s="36" t="str">
        <f t="shared" si="11"/>
        <v>-</v>
      </c>
      <c r="V27" s="34">
        <f t="shared" si="12"/>
        <v>1</v>
      </c>
      <c r="W27" s="35" t="str">
        <f t="shared" si="28"/>
        <v>-</v>
      </c>
      <c r="X27" s="35" t="str">
        <f t="shared" si="13"/>
        <v>-</v>
      </c>
      <c r="Y27" s="36" t="str">
        <f t="shared" si="14"/>
        <v>-</v>
      </c>
      <c r="Z27" s="34" t="str">
        <f t="shared" si="15"/>
        <v>-</v>
      </c>
      <c r="AA27" s="35" t="str">
        <f t="shared" si="29"/>
        <v>-</v>
      </c>
      <c r="AB27" s="35" t="str">
        <f t="shared" si="16"/>
        <v>-</v>
      </c>
      <c r="AC27" s="36" t="str">
        <f t="shared" si="17"/>
        <v>-</v>
      </c>
      <c r="AD27" s="34" t="str">
        <f t="shared" si="18"/>
        <v>-</v>
      </c>
      <c r="AE27" s="35" t="str">
        <f t="shared" si="30"/>
        <v>-</v>
      </c>
      <c r="AF27" s="35" t="str">
        <f t="shared" si="19"/>
        <v>-</v>
      </c>
      <c r="AG27" s="36" t="str">
        <f t="shared" si="20"/>
        <v>-</v>
      </c>
      <c r="AH27" s="34" t="str">
        <f t="shared" si="21"/>
        <v>-</v>
      </c>
      <c r="AI27" s="35" t="str">
        <f t="shared" si="31"/>
        <v>-</v>
      </c>
      <c r="AJ27" s="35" t="str">
        <f t="shared" si="22"/>
        <v>-</v>
      </c>
      <c r="AK27" s="36" t="str">
        <f t="shared" si="23"/>
        <v>-</v>
      </c>
      <c r="AL27" s="34" t="str">
        <f t="shared" si="32"/>
        <v>-</v>
      </c>
      <c r="AM27" s="35" t="str">
        <f t="shared" si="33"/>
        <v>-</v>
      </c>
      <c r="AN27" s="35" t="str">
        <f t="shared" si="34"/>
        <v>-</v>
      </c>
      <c r="AO27" s="36" t="str">
        <f t="shared" si="35"/>
        <v>-</v>
      </c>
    </row>
    <row r="28" spans="2:41" ht="15" x14ac:dyDescent="0.25">
      <c r="B28" s="418" t="s">
        <v>60</v>
      </c>
      <c r="C28" s="411">
        <v>1.7000000000000028</v>
      </c>
      <c r="D28" s="424" t="s">
        <v>122</v>
      </c>
      <c r="F28" s="34" t="str">
        <f t="shared" si="0"/>
        <v>-</v>
      </c>
      <c r="G28" s="35" t="str">
        <f t="shared" si="24"/>
        <v>-</v>
      </c>
      <c r="H28" s="35" t="str">
        <f t="shared" si="1"/>
        <v>-</v>
      </c>
      <c r="I28" s="36" t="str">
        <f t="shared" si="2"/>
        <v>-</v>
      </c>
      <c r="J28" s="34" t="str">
        <f t="shared" si="3"/>
        <v>-</v>
      </c>
      <c r="K28" s="35" t="str">
        <f t="shared" si="25"/>
        <v>-</v>
      </c>
      <c r="L28" s="35" t="str">
        <f t="shared" si="4"/>
        <v>-</v>
      </c>
      <c r="M28" s="36" t="str">
        <f t="shared" si="5"/>
        <v>-</v>
      </c>
      <c r="N28" s="34">
        <f t="shared" si="6"/>
        <v>1</v>
      </c>
      <c r="O28" s="35" t="str">
        <f t="shared" si="26"/>
        <v>-</v>
      </c>
      <c r="P28" s="35" t="str">
        <f t="shared" si="7"/>
        <v>-</v>
      </c>
      <c r="Q28" s="36" t="str">
        <f t="shared" si="8"/>
        <v>-</v>
      </c>
      <c r="R28" s="34" t="str">
        <f t="shared" si="9"/>
        <v>-</v>
      </c>
      <c r="S28" s="35" t="str">
        <f t="shared" si="27"/>
        <v>-</v>
      </c>
      <c r="T28" s="35" t="str">
        <f t="shared" si="10"/>
        <v>-</v>
      </c>
      <c r="U28" s="36" t="str">
        <f t="shared" si="11"/>
        <v>-</v>
      </c>
      <c r="V28" s="34" t="str">
        <f t="shared" si="12"/>
        <v>-</v>
      </c>
      <c r="W28" s="35" t="str">
        <f t="shared" si="28"/>
        <v>-</v>
      </c>
      <c r="X28" s="35" t="str">
        <f t="shared" si="13"/>
        <v>-</v>
      </c>
      <c r="Y28" s="36" t="str">
        <f t="shared" si="14"/>
        <v>-</v>
      </c>
      <c r="Z28" s="34" t="str">
        <f t="shared" si="15"/>
        <v>-</v>
      </c>
      <c r="AA28" s="35" t="str">
        <f t="shared" si="29"/>
        <v>-</v>
      </c>
      <c r="AB28" s="35" t="str">
        <f t="shared" si="16"/>
        <v>-</v>
      </c>
      <c r="AC28" s="36" t="str">
        <f t="shared" si="17"/>
        <v>-</v>
      </c>
      <c r="AD28" s="34" t="str">
        <f t="shared" si="18"/>
        <v>-</v>
      </c>
      <c r="AE28" s="35" t="str">
        <f t="shared" si="30"/>
        <v>-</v>
      </c>
      <c r="AF28" s="35" t="str">
        <f t="shared" si="19"/>
        <v>-</v>
      </c>
      <c r="AG28" s="36" t="str">
        <f t="shared" si="20"/>
        <v>-</v>
      </c>
      <c r="AH28" s="34" t="str">
        <f t="shared" si="21"/>
        <v>-</v>
      </c>
      <c r="AI28" s="35" t="str">
        <f t="shared" si="31"/>
        <v>-</v>
      </c>
      <c r="AJ28" s="35" t="str">
        <f t="shared" si="22"/>
        <v>-</v>
      </c>
      <c r="AK28" s="36" t="str">
        <f t="shared" si="23"/>
        <v>-</v>
      </c>
      <c r="AL28" s="34" t="str">
        <f t="shared" si="32"/>
        <v>-</v>
      </c>
      <c r="AM28" s="35" t="str">
        <f t="shared" si="33"/>
        <v>-</v>
      </c>
      <c r="AN28" s="35" t="str">
        <f t="shared" si="34"/>
        <v>-</v>
      </c>
      <c r="AO28" s="36" t="str">
        <f t="shared" si="35"/>
        <v>-</v>
      </c>
    </row>
    <row r="29" spans="2:41" ht="15" x14ac:dyDescent="0.25">
      <c r="B29" s="418" t="s">
        <v>61</v>
      </c>
      <c r="C29" s="411">
        <v>1.7199999999999989</v>
      </c>
      <c r="D29" s="424" t="s">
        <v>122</v>
      </c>
      <c r="F29" s="34" t="str">
        <f t="shared" si="0"/>
        <v>-</v>
      </c>
      <c r="G29" s="35" t="str">
        <f t="shared" si="24"/>
        <v>-</v>
      </c>
      <c r="H29" s="35" t="str">
        <f t="shared" si="1"/>
        <v>-</v>
      </c>
      <c r="I29" s="36" t="str">
        <f t="shared" si="2"/>
        <v>-</v>
      </c>
      <c r="J29" s="34" t="str">
        <f t="shared" si="3"/>
        <v>-</v>
      </c>
      <c r="K29" s="35" t="str">
        <f t="shared" si="25"/>
        <v>-</v>
      </c>
      <c r="L29" s="35" t="str">
        <f t="shared" si="4"/>
        <v>-</v>
      </c>
      <c r="M29" s="36" t="str">
        <f t="shared" si="5"/>
        <v>-</v>
      </c>
      <c r="N29" s="34">
        <f t="shared" si="6"/>
        <v>1</v>
      </c>
      <c r="O29" s="35" t="str">
        <f t="shared" si="26"/>
        <v>-</v>
      </c>
      <c r="P29" s="35" t="str">
        <f t="shared" si="7"/>
        <v>-</v>
      </c>
      <c r="Q29" s="36" t="str">
        <f t="shared" si="8"/>
        <v>-</v>
      </c>
      <c r="R29" s="34" t="str">
        <f t="shared" si="9"/>
        <v>-</v>
      </c>
      <c r="S29" s="35" t="str">
        <f t="shared" si="27"/>
        <v>-</v>
      </c>
      <c r="T29" s="35" t="str">
        <f t="shared" si="10"/>
        <v>-</v>
      </c>
      <c r="U29" s="36" t="str">
        <f t="shared" si="11"/>
        <v>-</v>
      </c>
      <c r="V29" s="34" t="str">
        <f t="shared" si="12"/>
        <v>-</v>
      </c>
      <c r="W29" s="35" t="str">
        <f t="shared" si="28"/>
        <v>-</v>
      </c>
      <c r="X29" s="35" t="str">
        <f t="shared" si="13"/>
        <v>-</v>
      </c>
      <c r="Y29" s="36" t="str">
        <f t="shared" si="14"/>
        <v>-</v>
      </c>
      <c r="Z29" s="34" t="str">
        <f t="shared" si="15"/>
        <v>-</v>
      </c>
      <c r="AA29" s="35" t="str">
        <f t="shared" si="29"/>
        <v>-</v>
      </c>
      <c r="AB29" s="35" t="str">
        <f t="shared" si="16"/>
        <v>-</v>
      </c>
      <c r="AC29" s="36" t="str">
        <f t="shared" si="17"/>
        <v>-</v>
      </c>
      <c r="AD29" s="34" t="str">
        <f t="shared" si="18"/>
        <v>-</v>
      </c>
      <c r="AE29" s="35" t="str">
        <f t="shared" si="30"/>
        <v>-</v>
      </c>
      <c r="AF29" s="35" t="str">
        <f t="shared" si="19"/>
        <v>-</v>
      </c>
      <c r="AG29" s="36" t="str">
        <f t="shared" si="20"/>
        <v>-</v>
      </c>
      <c r="AH29" s="34" t="str">
        <f t="shared" si="21"/>
        <v>-</v>
      </c>
      <c r="AI29" s="35" t="str">
        <f t="shared" si="31"/>
        <v>-</v>
      </c>
      <c r="AJ29" s="35" t="str">
        <f t="shared" si="22"/>
        <v>-</v>
      </c>
      <c r="AK29" s="36" t="str">
        <f t="shared" si="23"/>
        <v>-</v>
      </c>
      <c r="AL29" s="34" t="str">
        <f t="shared" si="32"/>
        <v>-</v>
      </c>
      <c r="AM29" s="35" t="str">
        <f t="shared" si="33"/>
        <v>-</v>
      </c>
      <c r="AN29" s="35" t="str">
        <f t="shared" si="34"/>
        <v>-</v>
      </c>
      <c r="AO29" s="36" t="str">
        <f t="shared" si="35"/>
        <v>-</v>
      </c>
    </row>
    <row r="30" spans="2:41" ht="15" x14ac:dyDescent="0.25">
      <c r="B30" s="418" t="s">
        <v>62</v>
      </c>
      <c r="C30" s="411">
        <v>1.5300000000000011</v>
      </c>
      <c r="D30" s="424" t="s">
        <v>122</v>
      </c>
      <c r="F30" s="34" t="str">
        <f t="shared" si="0"/>
        <v>-</v>
      </c>
      <c r="G30" s="35" t="str">
        <f t="shared" si="24"/>
        <v>-</v>
      </c>
      <c r="H30" s="35" t="str">
        <f t="shared" si="1"/>
        <v>-</v>
      </c>
      <c r="I30" s="36" t="str">
        <f t="shared" si="2"/>
        <v>-</v>
      </c>
      <c r="J30" s="34" t="str">
        <f t="shared" si="3"/>
        <v>-</v>
      </c>
      <c r="K30" s="35" t="str">
        <f t="shared" si="25"/>
        <v>-</v>
      </c>
      <c r="L30" s="35" t="str">
        <f t="shared" si="4"/>
        <v>-</v>
      </c>
      <c r="M30" s="36" t="str">
        <f t="shared" si="5"/>
        <v>-</v>
      </c>
      <c r="N30" s="34">
        <f t="shared" si="6"/>
        <v>1</v>
      </c>
      <c r="O30" s="35" t="str">
        <f t="shared" si="26"/>
        <v>-</v>
      </c>
      <c r="P30" s="35" t="str">
        <f t="shared" si="7"/>
        <v>-</v>
      </c>
      <c r="Q30" s="36" t="str">
        <f t="shared" si="8"/>
        <v>-</v>
      </c>
      <c r="R30" s="34" t="str">
        <f t="shared" si="9"/>
        <v>-</v>
      </c>
      <c r="S30" s="35" t="str">
        <f t="shared" si="27"/>
        <v>-</v>
      </c>
      <c r="T30" s="35" t="str">
        <f t="shared" si="10"/>
        <v>-</v>
      </c>
      <c r="U30" s="36" t="str">
        <f t="shared" si="11"/>
        <v>-</v>
      </c>
      <c r="V30" s="34" t="str">
        <f t="shared" si="12"/>
        <v>-</v>
      </c>
      <c r="W30" s="35" t="str">
        <f t="shared" si="28"/>
        <v>-</v>
      </c>
      <c r="X30" s="35" t="str">
        <f t="shared" si="13"/>
        <v>-</v>
      </c>
      <c r="Y30" s="36" t="str">
        <f t="shared" si="14"/>
        <v>-</v>
      </c>
      <c r="Z30" s="34" t="str">
        <f t="shared" si="15"/>
        <v>-</v>
      </c>
      <c r="AA30" s="35" t="str">
        <f t="shared" si="29"/>
        <v>-</v>
      </c>
      <c r="AB30" s="35" t="str">
        <f t="shared" si="16"/>
        <v>-</v>
      </c>
      <c r="AC30" s="36" t="str">
        <f t="shared" si="17"/>
        <v>-</v>
      </c>
      <c r="AD30" s="34" t="str">
        <f t="shared" si="18"/>
        <v>-</v>
      </c>
      <c r="AE30" s="35" t="str">
        <f t="shared" si="30"/>
        <v>-</v>
      </c>
      <c r="AF30" s="35" t="str">
        <f t="shared" si="19"/>
        <v>-</v>
      </c>
      <c r="AG30" s="36" t="str">
        <f t="shared" si="20"/>
        <v>-</v>
      </c>
      <c r="AH30" s="34" t="str">
        <f t="shared" si="21"/>
        <v>-</v>
      </c>
      <c r="AI30" s="35" t="str">
        <f t="shared" si="31"/>
        <v>-</v>
      </c>
      <c r="AJ30" s="35" t="str">
        <f t="shared" si="22"/>
        <v>-</v>
      </c>
      <c r="AK30" s="36" t="str">
        <f t="shared" si="23"/>
        <v>-</v>
      </c>
      <c r="AL30" s="34" t="str">
        <f t="shared" si="32"/>
        <v>-</v>
      </c>
      <c r="AM30" s="35" t="str">
        <f t="shared" si="33"/>
        <v>-</v>
      </c>
      <c r="AN30" s="35" t="str">
        <f t="shared" si="34"/>
        <v>-</v>
      </c>
      <c r="AO30" s="36" t="str">
        <f t="shared" si="35"/>
        <v>-</v>
      </c>
    </row>
    <row r="31" spans="2:41" ht="15" x14ac:dyDescent="0.25">
      <c r="B31" s="418" t="s">
        <v>63</v>
      </c>
      <c r="C31" s="411">
        <v>1.2399999999999949</v>
      </c>
      <c r="D31" s="424" t="s">
        <v>122</v>
      </c>
      <c r="F31" s="34">
        <f t="shared" si="0"/>
        <v>1</v>
      </c>
      <c r="G31" s="35" t="str">
        <f t="shared" si="24"/>
        <v>-</v>
      </c>
      <c r="H31" s="35" t="str">
        <f t="shared" si="1"/>
        <v>-</v>
      </c>
      <c r="I31" s="36" t="str">
        <f t="shared" si="2"/>
        <v>-</v>
      </c>
      <c r="J31" s="34" t="str">
        <f t="shared" si="3"/>
        <v>-</v>
      </c>
      <c r="K31" s="35" t="str">
        <f t="shared" si="25"/>
        <v>-</v>
      </c>
      <c r="L31" s="35" t="str">
        <f t="shared" si="4"/>
        <v>-</v>
      </c>
      <c r="M31" s="36" t="str">
        <f t="shared" si="5"/>
        <v>-</v>
      </c>
      <c r="N31" s="34" t="str">
        <f t="shared" si="6"/>
        <v>-</v>
      </c>
      <c r="O31" s="35" t="str">
        <f t="shared" si="26"/>
        <v>-</v>
      </c>
      <c r="P31" s="35" t="str">
        <f t="shared" si="7"/>
        <v>-</v>
      </c>
      <c r="Q31" s="36" t="str">
        <f t="shared" si="8"/>
        <v>-</v>
      </c>
      <c r="R31" s="34" t="str">
        <f t="shared" si="9"/>
        <v>-</v>
      </c>
      <c r="S31" s="35" t="str">
        <f t="shared" si="27"/>
        <v>-</v>
      </c>
      <c r="T31" s="35" t="str">
        <f t="shared" si="10"/>
        <v>-</v>
      </c>
      <c r="U31" s="36" t="str">
        <f t="shared" si="11"/>
        <v>-</v>
      </c>
      <c r="V31" s="34" t="str">
        <f t="shared" si="12"/>
        <v>-</v>
      </c>
      <c r="W31" s="35" t="str">
        <f t="shared" si="28"/>
        <v>-</v>
      </c>
      <c r="X31" s="35" t="str">
        <f t="shared" si="13"/>
        <v>-</v>
      </c>
      <c r="Y31" s="36" t="str">
        <f t="shared" si="14"/>
        <v>-</v>
      </c>
      <c r="Z31" s="34" t="str">
        <f t="shared" si="15"/>
        <v>-</v>
      </c>
      <c r="AA31" s="35" t="str">
        <f t="shared" si="29"/>
        <v>-</v>
      </c>
      <c r="AB31" s="35" t="str">
        <f t="shared" si="16"/>
        <v>-</v>
      </c>
      <c r="AC31" s="36" t="str">
        <f t="shared" si="17"/>
        <v>-</v>
      </c>
      <c r="AD31" s="34" t="str">
        <f t="shared" si="18"/>
        <v>-</v>
      </c>
      <c r="AE31" s="35" t="str">
        <f t="shared" si="30"/>
        <v>-</v>
      </c>
      <c r="AF31" s="35" t="str">
        <f t="shared" si="19"/>
        <v>-</v>
      </c>
      <c r="AG31" s="36" t="str">
        <f t="shared" si="20"/>
        <v>-</v>
      </c>
      <c r="AH31" s="34" t="str">
        <f t="shared" si="21"/>
        <v>-</v>
      </c>
      <c r="AI31" s="35" t="str">
        <f t="shared" si="31"/>
        <v>-</v>
      </c>
      <c r="AJ31" s="35" t="str">
        <f t="shared" si="22"/>
        <v>-</v>
      </c>
      <c r="AK31" s="36" t="str">
        <f t="shared" si="23"/>
        <v>-</v>
      </c>
      <c r="AL31" s="34" t="str">
        <f t="shared" si="32"/>
        <v>-</v>
      </c>
      <c r="AM31" s="35" t="str">
        <f t="shared" si="33"/>
        <v>-</v>
      </c>
      <c r="AN31" s="35" t="str">
        <f t="shared" si="34"/>
        <v>-</v>
      </c>
      <c r="AO31" s="36" t="str">
        <f t="shared" si="35"/>
        <v>-</v>
      </c>
    </row>
    <row r="32" spans="2:41" ht="15" x14ac:dyDescent="0.25">
      <c r="B32" s="418" t="s">
        <v>64</v>
      </c>
      <c r="C32" s="411">
        <v>1.3500000000000014</v>
      </c>
      <c r="D32" s="424" t="s">
        <v>122</v>
      </c>
      <c r="F32" s="34" t="str">
        <f t="shared" si="0"/>
        <v>-</v>
      </c>
      <c r="G32" s="35" t="str">
        <f t="shared" si="24"/>
        <v>-</v>
      </c>
      <c r="H32" s="35" t="str">
        <f t="shared" si="1"/>
        <v>-</v>
      </c>
      <c r="I32" s="36" t="str">
        <f t="shared" si="2"/>
        <v>-</v>
      </c>
      <c r="J32" s="34">
        <f t="shared" si="3"/>
        <v>1</v>
      </c>
      <c r="K32" s="35" t="str">
        <f t="shared" si="25"/>
        <v>-</v>
      </c>
      <c r="L32" s="35" t="str">
        <f t="shared" si="4"/>
        <v>-</v>
      </c>
      <c r="M32" s="36" t="str">
        <f t="shared" si="5"/>
        <v>-</v>
      </c>
      <c r="N32" s="34" t="str">
        <f t="shared" si="6"/>
        <v>-</v>
      </c>
      <c r="O32" s="35" t="str">
        <f t="shared" si="26"/>
        <v>-</v>
      </c>
      <c r="P32" s="35" t="str">
        <f t="shared" si="7"/>
        <v>-</v>
      </c>
      <c r="Q32" s="36" t="str">
        <f t="shared" si="8"/>
        <v>-</v>
      </c>
      <c r="R32" s="34" t="str">
        <f t="shared" si="9"/>
        <v>-</v>
      </c>
      <c r="S32" s="35" t="str">
        <f t="shared" si="27"/>
        <v>-</v>
      </c>
      <c r="T32" s="35" t="str">
        <f t="shared" si="10"/>
        <v>-</v>
      </c>
      <c r="U32" s="36" t="str">
        <f t="shared" si="11"/>
        <v>-</v>
      </c>
      <c r="V32" s="34" t="str">
        <f t="shared" si="12"/>
        <v>-</v>
      </c>
      <c r="W32" s="35" t="str">
        <f t="shared" si="28"/>
        <v>-</v>
      </c>
      <c r="X32" s="35" t="str">
        <f t="shared" si="13"/>
        <v>-</v>
      </c>
      <c r="Y32" s="36" t="str">
        <f t="shared" si="14"/>
        <v>-</v>
      </c>
      <c r="Z32" s="34" t="str">
        <f t="shared" si="15"/>
        <v>-</v>
      </c>
      <c r="AA32" s="35" t="str">
        <f t="shared" si="29"/>
        <v>-</v>
      </c>
      <c r="AB32" s="35" t="str">
        <f t="shared" si="16"/>
        <v>-</v>
      </c>
      <c r="AC32" s="36" t="str">
        <f t="shared" si="17"/>
        <v>-</v>
      </c>
      <c r="AD32" s="34" t="str">
        <f t="shared" si="18"/>
        <v>-</v>
      </c>
      <c r="AE32" s="35" t="str">
        <f t="shared" si="30"/>
        <v>-</v>
      </c>
      <c r="AF32" s="35" t="str">
        <f t="shared" si="19"/>
        <v>-</v>
      </c>
      <c r="AG32" s="36" t="str">
        <f t="shared" si="20"/>
        <v>-</v>
      </c>
      <c r="AH32" s="34" t="str">
        <f t="shared" si="21"/>
        <v>-</v>
      </c>
      <c r="AI32" s="35" t="str">
        <f t="shared" si="31"/>
        <v>-</v>
      </c>
      <c r="AJ32" s="35" t="str">
        <f t="shared" si="22"/>
        <v>-</v>
      </c>
      <c r="AK32" s="36" t="str">
        <f t="shared" si="23"/>
        <v>-</v>
      </c>
      <c r="AL32" s="34" t="str">
        <f t="shared" si="32"/>
        <v>-</v>
      </c>
      <c r="AM32" s="35" t="str">
        <f t="shared" si="33"/>
        <v>-</v>
      </c>
      <c r="AN32" s="35" t="str">
        <f t="shared" si="34"/>
        <v>-</v>
      </c>
      <c r="AO32" s="36" t="str">
        <f t="shared" si="35"/>
        <v>-</v>
      </c>
    </row>
    <row r="33" spans="2:41" ht="15" x14ac:dyDescent="0.25">
      <c r="B33" s="418" t="s">
        <v>65</v>
      </c>
      <c r="C33" s="411">
        <v>2.4200000000000017</v>
      </c>
      <c r="D33" s="424" t="s">
        <v>122</v>
      </c>
      <c r="F33" s="34" t="str">
        <f t="shared" si="0"/>
        <v>-</v>
      </c>
      <c r="G33" s="35" t="str">
        <f t="shared" si="24"/>
        <v>-</v>
      </c>
      <c r="H33" s="35" t="str">
        <f t="shared" si="1"/>
        <v>-</v>
      </c>
      <c r="I33" s="36" t="str">
        <f t="shared" si="2"/>
        <v>-</v>
      </c>
      <c r="J33" s="34" t="str">
        <f t="shared" si="3"/>
        <v>-</v>
      </c>
      <c r="K33" s="35" t="str">
        <f t="shared" si="25"/>
        <v>-</v>
      </c>
      <c r="L33" s="35" t="str">
        <f t="shared" si="4"/>
        <v>-</v>
      </c>
      <c r="M33" s="36" t="str">
        <f t="shared" si="5"/>
        <v>-</v>
      </c>
      <c r="N33" s="34" t="str">
        <f t="shared" si="6"/>
        <v>-</v>
      </c>
      <c r="O33" s="35" t="str">
        <f t="shared" si="26"/>
        <v>-</v>
      </c>
      <c r="P33" s="35" t="str">
        <f t="shared" si="7"/>
        <v>-</v>
      </c>
      <c r="Q33" s="36" t="str">
        <f t="shared" si="8"/>
        <v>-</v>
      </c>
      <c r="R33" s="34" t="str">
        <f t="shared" si="9"/>
        <v>-</v>
      </c>
      <c r="S33" s="35" t="str">
        <f t="shared" si="27"/>
        <v>-</v>
      </c>
      <c r="T33" s="35" t="str">
        <f t="shared" si="10"/>
        <v>-</v>
      </c>
      <c r="U33" s="36" t="str">
        <f t="shared" si="11"/>
        <v>-</v>
      </c>
      <c r="V33" s="34">
        <f t="shared" si="12"/>
        <v>1</v>
      </c>
      <c r="W33" s="35" t="str">
        <f t="shared" si="28"/>
        <v>-</v>
      </c>
      <c r="X33" s="35" t="str">
        <f t="shared" si="13"/>
        <v>-</v>
      </c>
      <c r="Y33" s="36" t="str">
        <f t="shared" si="14"/>
        <v>-</v>
      </c>
      <c r="Z33" s="34" t="str">
        <f t="shared" si="15"/>
        <v>-</v>
      </c>
      <c r="AA33" s="35" t="str">
        <f t="shared" si="29"/>
        <v>-</v>
      </c>
      <c r="AB33" s="35" t="str">
        <f t="shared" si="16"/>
        <v>-</v>
      </c>
      <c r="AC33" s="36" t="str">
        <f t="shared" si="17"/>
        <v>-</v>
      </c>
      <c r="AD33" s="34" t="str">
        <f t="shared" si="18"/>
        <v>-</v>
      </c>
      <c r="AE33" s="35" t="str">
        <f t="shared" si="30"/>
        <v>-</v>
      </c>
      <c r="AF33" s="35" t="str">
        <f t="shared" si="19"/>
        <v>-</v>
      </c>
      <c r="AG33" s="36" t="str">
        <f t="shared" si="20"/>
        <v>-</v>
      </c>
      <c r="AH33" s="34" t="str">
        <f t="shared" si="21"/>
        <v>-</v>
      </c>
      <c r="AI33" s="35" t="str">
        <f t="shared" si="31"/>
        <v>-</v>
      </c>
      <c r="AJ33" s="35" t="str">
        <f t="shared" si="22"/>
        <v>-</v>
      </c>
      <c r="AK33" s="36" t="str">
        <f t="shared" si="23"/>
        <v>-</v>
      </c>
      <c r="AL33" s="34" t="str">
        <f t="shared" si="32"/>
        <v>-</v>
      </c>
      <c r="AM33" s="35" t="str">
        <f t="shared" si="33"/>
        <v>-</v>
      </c>
      <c r="AN33" s="35" t="str">
        <f t="shared" si="34"/>
        <v>-</v>
      </c>
      <c r="AO33" s="36" t="str">
        <f t="shared" si="35"/>
        <v>-</v>
      </c>
    </row>
    <row r="34" spans="2:41" ht="15" x14ac:dyDescent="0.25">
      <c r="B34" s="418" t="s">
        <v>66</v>
      </c>
      <c r="C34" s="411">
        <v>1.2100000000000009</v>
      </c>
      <c r="D34" s="424" t="s">
        <v>122</v>
      </c>
      <c r="F34" s="34">
        <f t="shared" si="0"/>
        <v>1</v>
      </c>
      <c r="G34" s="35" t="str">
        <f t="shared" si="24"/>
        <v>-</v>
      </c>
      <c r="H34" s="35" t="str">
        <f t="shared" si="1"/>
        <v>-</v>
      </c>
      <c r="I34" s="36" t="str">
        <f t="shared" si="2"/>
        <v>-</v>
      </c>
      <c r="J34" s="34" t="str">
        <f t="shared" si="3"/>
        <v>-</v>
      </c>
      <c r="K34" s="35" t="str">
        <f t="shared" si="25"/>
        <v>-</v>
      </c>
      <c r="L34" s="35" t="str">
        <f t="shared" si="4"/>
        <v>-</v>
      </c>
      <c r="M34" s="36" t="str">
        <f t="shared" si="5"/>
        <v>-</v>
      </c>
      <c r="N34" s="34" t="str">
        <f t="shared" si="6"/>
        <v>-</v>
      </c>
      <c r="O34" s="35" t="str">
        <f t="shared" si="26"/>
        <v>-</v>
      </c>
      <c r="P34" s="35" t="str">
        <f t="shared" si="7"/>
        <v>-</v>
      </c>
      <c r="Q34" s="36" t="str">
        <f t="shared" si="8"/>
        <v>-</v>
      </c>
      <c r="R34" s="34" t="str">
        <f t="shared" si="9"/>
        <v>-</v>
      </c>
      <c r="S34" s="35" t="str">
        <f t="shared" si="27"/>
        <v>-</v>
      </c>
      <c r="T34" s="35" t="str">
        <f t="shared" si="10"/>
        <v>-</v>
      </c>
      <c r="U34" s="36" t="str">
        <f t="shared" si="11"/>
        <v>-</v>
      </c>
      <c r="V34" s="34" t="str">
        <f t="shared" si="12"/>
        <v>-</v>
      </c>
      <c r="W34" s="35" t="str">
        <f t="shared" si="28"/>
        <v>-</v>
      </c>
      <c r="X34" s="35" t="str">
        <f t="shared" si="13"/>
        <v>-</v>
      </c>
      <c r="Y34" s="36" t="str">
        <f t="shared" si="14"/>
        <v>-</v>
      </c>
      <c r="Z34" s="34" t="str">
        <f t="shared" si="15"/>
        <v>-</v>
      </c>
      <c r="AA34" s="35" t="str">
        <f t="shared" si="29"/>
        <v>-</v>
      </c>
      <c r="AB34" s="35" t="str">
        <f t="shared" si="16"/>
        <v>-</v>
      </c>
      <c r="AC34" s="36" t="str">
        <f t="shared" si="17"/>
        <v>-</v>
      </c>
      <c r="AD34" s="34" t="str">
        <f t="shared" si="18"/>
        <v>-</v>
      </c>
      <c r="AE34" s="35" t="str">
        <f t="shared" si="30"/>
        <v>-</v>
      </c>
      <c r="AF34" s="35" t="str">
        <f t="shared" si="19"/>
        <v>-</v>
      </c>
      <c r="AG34" s="36" t="str">
        <f t="shared" si="20"/>
        <v>-</v>
      </c>
      <c r="AH34" s="34" t="str">
        <f t="shared" si="21"/>
        <v>-</v>
      </c>
      <c r="AI34" s="35" t="str">
        <f t="shared" si="31"/>
        <v>-</v>
      </c>
      <c r="AJ34" s="35" t="str">
        <f t="shared" si="22"/>
        <v>-</v>
      </c>
      <c r="AK34" s="36" t="str">
        <f t="shared" si="23"/>
        <v>-</v>
      </c>
      <c r="AL34" s="34" t="str">
        <f t="shared" si="32"/>
        <v>-</v>
      </c>
      <c r="AM34" s="35" t="str">
        <f t="shared" si="33"/>
        <v>-</v>
      </c>
      <c r="AN34" s="35" t="str">
        <f t="shared" si="34"/>
        <v>-</v>
      </c>
      <c r="AO34" s="36" t="str">
        <f t="shared" si="35"/>
        <v>-</v>
      </c>
    </row>
    <row r="35" spans="2:41" ht="15" x14ac:dyDescent="0.25">
      <c r="B35" s="418" t="s">
        <v>418</v>
      </c>
      <c r="C35" s="411">
        <v>1.9499999999999957</v>
      </c>
      <c r="D35" s="424" t="s">
        <v>122</v>
      </c>
      <c r="F35" s="34" t="str">
        <f t="shared" si="0"/>
        <v>-</v>
      </c>
      <c r="G35" s="35" t="str">
        <f t="shared" si="24"/>
        <v>-</v>
      </c>
      <c r="H35" s="35" t="str">
        <f t="shared" si="1"/>
        <v>-</v>
      </c>
      <c r="I35" s="36" t="str">
        <f t="shared" si="2"/>
        <v>-</v>
      </c>
      <c r="J35" s="34" t="str">
        <f t="shared" si="3"/>
        <v>-</v>
      </c>
      <c r="K35" s="35" t="str">
        <f t="shared" si="25"/>
        <v>-</v>
      </c>
      <c r="L35" s="35" t="str">
        <f t="shared" si="4"/>
        <v>-</v>
      </c>
      <c r="M35" s="36" t="str">
        <f t="shared" si="5"/>
        <v>-</v>
      </c>
      <c r="N35" s="34" t="str">
        <f t="shared" si="6"/>
        <v>-</v>
      </c>
      <c r="O35" s="35" t="str">
        <f t="shared" si="26"/>
        <v>-</v>
      </c>
      <c r="P35" s="35" t="str">
        <f t="shared" si="7"/>
        <v>-</v>
      </c>
      <c r="Q35" s="36" t="str">
        <f t="shared" si="8"/>
        <v>-</v>
      </c>
      <c r="R35" s="34">
        <f t="shared" si="9"/>
        <v>1</v>
      </c>
      <c r="S35" s="35" t="str">
        <f t="shared" si="27"/>
        <v>-</v>
      </c>
      <c r="T35" s="35" t="str">
        <f t="shared" si="10"/>
        <v>-</v>
      </c>
      <c r="U35" s="36" t="str">
        <f t="shared" si="11"/>
        <v>-</v>
      </c>
      <c r="V35" s="34" t="str">
        <f t="shared" si="12"/>
        <v>-</v>
      </c>
      <c r="W35" s="35" t="str">
        <f t="shared" si="28"/>
        <v>-</v>
      </c>
      <c r="X35" s="35" t="str">
        <f t="shared" si="13"/>
        <v>-</v>
      </c>
      <c r="Y35" s="36" t="str">
        <f t="shared" si="14"/>
        <v>-</v>
      </c>
      <c r="Z35" s="34" t="str">
        <f t="shared" si="15"/>
        <v>-</v>
      </c>
      <c r="AA35" s="35" t="str">
        <f t="shared" si="29"/>
        <v>-</v>
      </c>
      <c r="AB35" s="35" t="str">
        <f t="shared" si="16"/>
        <v>-</v>
      </c>
      <c r="AC35" s="36" t="str">
        <f t="shared" si="17"/>
        <v>-</v>
      </c>
      <c r="AD35" s="34" t="str">
        <f t="shared" si="18"/>
        <v>-</v>
      </c>
      <c r="AE35" s="35" t="str">
        <f t="shared" si="30"/>
        <v>-</v>
      </c>
      <c r="AF35" s="35" t="str">
        <f t="shared" si="19"/>
        <v>-</v>
      </c>
      <c r="AG35" s="36" t="str">
        <f t="shared" si="20"/>
        <v>-</v>
      </c>
      <c r="AH35" s="34" t="str">
        <f t="shared" si="21"/>
        <v>-</v>
      </c>
      <c r="AI35" s="35" t="str">
        <f t="shared" si="31"/>
        <v>-</v>
      </c>
      <c r="AJ35" s="35" t="str">
        <f t="shared" si="22"/>
        <v>-</v>
      </c>
      <c r="AK35" s="36" t="str">
        <f t="shared" si="23"/>
        <v>-</v>
      </c>
      <c r="AL35" s="34" t="str">
        <f t="shared" si="32"/>
        <v>-</v>
      </c>
      <c r="AM35" s="35" t="str">
        <f t="shared" si="33"/>
        <v>-</v>
      </c>
      <c r="AN35" s="35" t="str">
        <f t="shared" si="34"/>
        <v>-</v>
      </c>
      <c r="AO35" s="36" t="str">
        <f t="shared" si="35"/>
        <v>-</v>
      </c>
    </row>
    <row r="36" spans="2:41" ht="15" x14ac:dyDescent="0.25">
      <c r="B36" s="425" t="s">
        <v>67</v>
      </c>
      <c r="C36" s="414">
        <v>1.2999999999999972</v>
      </c>
      <c r="D36" s="424" t="s">
        <v>122</v>
      </c>
      <c r="F36" s="34" t="str">
        <f t="shared" si="0"/>
        <v>-</v>
      </c>
      <c r="G36" s="35" t="str">
        <f t="shared" si="24"/>
        <v>-</v>
      </c>
      <c r="H36" s="35" t="str">
        <f t="shared" si="1"/>
        <v>-</v>
      </c>
      <c r="I36" s="36" t="str">
        <f t="shared" si="2"/>
        <v>-</v>
      </c>
      <c r="J36" s="34">
        <f t="shared" si="3"/>
        <v>1</v>
      </c>
      <c r="K36" s="35" t="str">
        <f t="shared" si="25"/>
        <v>-</v>
      </c>
      <c r="L36" s="35" t="str">
        <f t="shared" si="4"/>
        <v>-</v>
      </c>
      <c r="M36" s="36" t="str">
        <f t="shared" si="5"/>
        <v>-</v>
      </c>
      <c r="N36" s="34" t="str">
        <f t="shared" si="6"/>
        <v>-</v>
      </c>
      <c r="O36" s="35" t="str">
        <f t="shared" si="26"/>
        <v>-</v>
      </c>
      <c r="P36" s="35" t="str">
        <f t="shared" si="7"/>
        <v>-</v>
      </c>
      <c r="Q36" s="36" t="str">
        <f t="shared" si="8"/>
        <v>-</v>
      </c>
      <c r="R36" s="34" t="str">
        <f t="shared" si="9"/>
        <v>-</v>
      </c>
      <c r="S36" s="35" t="str">
        <f t="shared" si="27"/>
        <v>-</v>
      </c>
      <c r="T36" s="35" t="str">
        <f t="shared" si="10"/>
        <v>-</v>
      </c>
      <c r="U36" s="36" t="str">
        <f t="shared" si="11"/>
        <v>-</v>
      </c>
      <c r="V36" s="34" t="str">
        <f t="shared" si="12"/>
        <v>-</v>
      </c>
      <c r="W36" s="35" t="str">
        <f t="shared" si="28"/>
        <v>-</v>
      </c>
      <c r="X36" s="35" t="str">
        <f t="shared" si="13"/>
        <v>-</v>
      </c>
      <c r="Y36" s="36" t="str">
        <f t="shared" si="14"/>
        <v>-</v>
      </c>
      <c r="Z36" s="34" t="str">
        <f t="shared" si="15"/>
        <v>-</v>
      </c>
      <c r="AA36" s="35" t="str">
        <f t="shared" si="29"/>
        <v>-</v>
      </c>
      <c r="AB36" s="35" t="str">
        <f t="shared" si="16"/>
        <v>-</v>
      </c>
      <c r="AC36" s="36" t="str">
        <f t="shared" si="17"/>
        <v>-</v>
      </c>
      <c r="AD36" s="34" t="str">
        <f t="shared" si="18"/>
        <v>-</v>
      </c>
      <c r="AE36" s="35" t="str">
        <f t="shared" si="30"/>
        <v>-</v>
      </c>
      <c r="AF36" s="35" t="str">
        <f t="shared" si="19"/>
        <v>-</v>
      </c>
      <c r="AG36" s="36" t="str">
        <f t="shared" si="20"/>
        <v>-</v>
      </c>
      <c r="AH36" s="34" t="str">
        <f t="shared" si="21"/>
        <v>-</v>
      </c>
      <c r="AI36" s="35" t="str">
        <f t="shared" si="31"/>
        <v>-</v>
      </c>
      <c r="AJ36" s="35" t="str">
        <f t="shared" si="22"/>
        <v>-</v>
      </c>
      <c r="AK36" s="36" t="str">
        <f t="shared" si="23"/>
        <v>-</v>
      </c>
      <c r="AL36" s="34" t="str">
        <f t="shared" si="32"/>
        <v>-</v>
      </c>
      <c r="AM36" s="35" t="str">
        <f t="shared" si="33"/>
        <v>-</v>
      </c>
      <c r="AN36" s="35" t="str">
        <f t="shared" si="34"/>
        <v>-</v>
      </c>
      <c r="AO36" s="36" t="str">
        <f t="shared" si="35"/>
        <v>-</v>
      </c>
    </row>
    <row r="37" spans="2:41" ht="15" x14ac:dyDescent="0.25">
      <c r="B37" s="425" t="s">
        <v>68</v>
      </c>
      <c r="C37" s="414">
        <v>1.3900000000000006</v>
      </c>
      <c r="D37" s="424" t="s">
        <v>122</v>
      </c>
      <c r="F37" s="34" t="str">
        <f t="shared" si="0"/>
        <v>-</v>
      </c>
      <c r="G37" s="35" t="str">
        <f t="shared" si="24"/>
        <v>-</v>
      </c>
      <c r="H37" s="35" t="str">
        <f t="shared" si="1"/>
        <v>-</v>
      </c>
      <c r="I37" s="36" t="str">
        <f t="shared" si="2"/>
        <v>-</v>
      </c>
      <c r="J37" s="34">
        <f t="shared" si="3"/>
        <v>1</v>
      </c>
      <c r="K37" s="35" t="str">
        <f t="shared" si="25"/>
        <v>-</v>
      </c>
      <c r="L37" s="35" t="str">
        <f t="shared" si="4"/>
        <v>-</v>
      </c>
      <c r="M37" s="36" t="str">
        <f t="shared" si="5"/>
        <v>-</v>
      </c>
      <c r="N37" s="34" t="str">
        <f t="shared" si="6"/>
        <v>-</v>
      </c>
      <c r="O37" s="35" t="str">
        <f t="shared" si="26"/>
        <v>-</v>
      </c>
      <c r="P37" s="35" t="str">
        <f t="shared" si="7"/>
        <v>-</v>
      </c>
      <c r="Q37" s="36" t="str">
        <f t="shared" si="8"/>
        <v>-</v>
      </c>
      <c r="R37" s="34" t="str">
        <f t="shared" si="9"/>
        <v>-</v>
      </c>
      <c r="S37" s="35" t="str">
        <f t="shared" si="27"/>
        <v>-</v>
      </c>
      <c r="T37" s="35" t="str">
        <f t="shared" si="10"/>
        <v>-</v>
      </c>
      <c r="U37" s="36" t="str">
        <f t="shared" si="11"/>
        <v>-</v>
      </c>
      <c r="V37" s="34" t="str">
        <f t="shared" si="12"/>
        <v>-</v>
      </c>
      <c r="W37" s="35" t="str">
        <f t="shared" si="28"/>
        <v>-</v>
      </c>
      <c r="X37" s="35" t="str">
        <f t="shared" si="13"/>
        <v>-</v>
      </c>
      <c r="Y37" s="36" t="str">
        <f t="shared" si="14"/>
        <v>-</v>
      </c>
      <c r="Z37" s="34" t="str">
        <f t="shared" si="15"/>
        <v>-</v>
      </c>
      <c r="AA37" s="35" t="str">
        <f t="shared" si="29"/>
        <v>-</v>
      </c>
      <c r="AB37" s="35" t="str">
        <f t="shared" si="16"/>
        <v>-</v>
      </c>
      <c r="AC37" s="36" t="str">
        <f t="shared" si="17"/>
        <v>-</v>
      </c>
      <c r="AD37" s="34" t="str">
        <f t="shared" si="18"/>
        <v>-</v>
      </c>
      <c r="AE37" s="35" t="str">
        <f t="shared" si="30"/>
        <v>-</v>
      </c>
      <c r="AF37" s="35" t="str">
        <f t="shared" si="19"/>
        <v>-</v>
      </c>
      <c r="AG37" s="36" t="str">
        <f t="shared" si="20"/>
        <v>-</v>
      </c>
      <c r="AH37" s="34" t="str">
        <f t="shared" si="21"/>
        <v>-</v>
      </c>
      <c r="AI37" s="35" t="str">
        <f t="shared" si="31"/>
        <v>-</v>
      </c>
      <c r="AJ37" s="35" t="str">
        <f t="shared" si="22"/>
        <v>-</v>
      </c>
      <c r="AK37" s="36" t="str">
        <f t="shared" si="23"/>
        <v>-</v>
      </c>
      <c r="AL37" s="34" t="str">
        <f t="shared" si="32"/>
        <v>-</v>
      </c>
      <c r="AM37" s="35" t="str">
        <f t="shared" si="33"/>
        <v>-</v>
      </c>
      <c r="AN37" s="35" t="str">
        <f t="shared" si="34"/>
        <v>-</v>
      </c>
      <c r="AO37" s="36" t="str">
        <f t="shared" si="35"/>
        <v>-</v>
      </c>
    </row>
    <row r="38" spans="2:41" ht="15" x14ac:dyDescent="0.25">
      <c r="B38" s="425" t="s">
        <v>69</v>
      </c>
      <c r="C38" s="414">
        <v>1.7299999999999969</v>
      </c>
      <c r="D38" s="424" t="s">
        <v>122</v>
      </c>
      <c r="F38" s="34" t="str">
        <f t="shared" si="0"/>
        <v>-</v>
      </c>
      <c r="G38" s="35" t="str">
        <f t="shared" si="24"/>
        <v>-</v>
      </c>
      <c r="H38" s="35" t="str">
        <f t="shared" si="1"/>
        <v>-</v>
      </c>
      <c r="I38" s="36" t="str">
        <f t="shared" si="2"/>
        <v>-</v>
      </c>
      <c r="J38" s="34" t="str">
        <f t="shared" si="3"/>
        <v>-</v>
      </c>
      <c r="K38" s="35" t="str">
        <f t="shared" si="25"/>
        <v>-</v>
      </c>
      <c r="L38" s="35" t="str">
        <f t="shared" si="4"/>
        <v>-</v>
      </c>
      <c r="M38" s="36" t="str">
        <f t="shared" si="5"/>
        <v>-</v>
      </c>
      <c r="N38" s="34">
        <f t="shared" si="6"/>
        <v>1</v>
      </c>
      <c r="O38" s="35" t="str">
        <f t="shared" si="26"/>
        <v>-</v>
      </c>
      <c r="P38" s="35" t="str">
        <f t="shared" si="7"/>
        <v>-</v>
      </c>
      <c r="Q38" s="36" t="str">
        <f t="shared" si="8"/>
        <v>-</v>
      </c>
      <c r="R38" s="34" t="str">
        <f t="shared" si="9"/>
        <v>-</v>
      </c>
      <c r="S38" s="35" t="str">
        <f t="shared" si="27"/>
        <v>-</v>
      </c>
      <c r="T38" s="35" t="str">
        <f t="shared" si="10"/>
        <v>-</v>
      </c>
      <c r="U38" s="36" t="str">
        <f t="shared" si="11"/>
        <v>-</v>
      </c>
      <c r="V38" s="34" t="str">
        <f t="shared" si="12"/>
        <v>-</v>
      </c>
      <c r="W38" s="35" t="str">
        <f t="shared" si="28"/>
        <v>-</v>
      </c>
      <c r="X38" s="35" t="str">
        <f t="shared" si="13"/>
        <v>-</v>
      </c>
      <c r="Y38" s="36" t="str">
        <f t="shared" si="14"/>
        <v>-</v>
      </c>
      <c r="Z38" s="34" t="str">
        <f t="shared" si="15"/>
        <v>-</v>
      </c>
      <c r="AA38" s="35" t="str">
        <f t="shared" si="29"/>
        <v>-</v>
      </c>
      <c r="AB38" s="35" t="str">
        <f t="shared" si="16"/>
        <v>-</v>
      </c>
      <c r="AC38" s="36" t="str">
        <f t="shared" si="17"/>
        <v>-</v>
      </c>
      <c r="AD38" s="34" t="str">
        <f t="shared" si="18"/>
        <v>-</v>
      </c>
      <c r="AE38" s="35" t="str">
        <f t="shared" si="30"/>
        <v>-</v>
      </c>
      <c r="AF38" s="35" t="str">
        <f t="shared" si="19"/>
        <v>-</v>
      </c>
      <c r="AG38" s="36" t="str">
        <f t="shared" si="20"/>
        <v>-</v>
      </c>
      <c r="AH38" s="34" t="str">
        <f t="shared" si="21"/>
        <v>-</v>
      </c>
      <c r="AI38" s="35" t="str">
        <f t="shared" si="31"/>
        <v>-</v>
      </c>
      <c r="AJ38" s="35" t="str">
        <f t="shared" si="22"/>
        <v>-</v>
      </c>
      <c r="AK38" s="36" t="str">
        <f t="shared" si="23"/>
        <v>-</v>
      </c>
      <c r="AL38" s="34" t="str">
        <f t="shared" si="32"/>
        <v>-</v>
      </c>
      <c r="AM38" s="35" t="str">
        <f t="shared" si="33"/>
        <v>-</v>
      </c>
      <c r="AN38" s="35" t="str">
        <f t="shared" si="34"/>
        <v>-</v>
      </c>
      <c r="AO38" s="36" t="str">
        <f t="shared" si="35"/>
        <v>-</v>
      </c>
    </row>
    <row r="39" spans="2:41" ht="15" x14ac:dyDescent="0.25">
      <c r="B39" s="425" t="s">
        <v>70</v>
      </c>
      <c r="C39" s="414">
        <v>1.769999999999996</v>
      </c>
      <c r="D39" s="424" t="s">
        <v>122</v>
      </c>
      <c r="F39" s="34" t="str">
        <f t="shared" si="0"/>
        <v>-</v>
      </c>
      <c r="G39" s="35" t="str">
        <f t="shared" si="24"/>
        <v>-</v>
      </c>
      <c r="H39" s="35" t="str">
        <f t="shared" si="1"/>
        <v>-</v>
      </c>
      <c r="I39" s="36" t="str">
        <f t="shared" si="2"/>
        <v>-</v>
      </c>
      <c r="J39" s="34" t="str">
        <f t="shared" si="3"/>
        <v>-</v>
      </c>
      <c r="K39" s="35" t="str">
        <f t="shared" si="25"/>
        <v>-</v>
      </c>
      <c r="L39" s="35" t="str">
        <f t="shared" si="4"/>
        <v>-</v>
      </c>
      <c r="M39" s="36" t="str">
        <f t="shared" si="5"/>
        <v>-</v>
      </c>
      <c r="N39" s="34" t="str">
        <f t="shared" si="6"/>
        <v>-</v>
      </c>
      <c r="O39" s="35" t="str">
        <f t="shared" si="26"/>
        <v>-</v>
      </c>
      <c r="P39" s="35" t="str">
        <f t="shared" si="7"/>
        <v>-</v>
      </c>
      <c r="Q39" s="36" t="str">
        <f t="shared" si="8"/>
        <v>-</v>
      </c>
      <c r="R39" s="34">
        <f t="shared" si="9"/>
        <v>1</v>
      </c>
      <c r="S39" s="35" t="str">
        <f t="shared" si="27"/>
        <v>-</v>
      </c>
      <c r="T39" s="35" t="str">
        <f t="shared" si="10"/>
        <v>-</v>
      </c>
      <c r="U39" s="36" t="str">
        <f t="shared" si="11"/>
        <v>-</v>
      </c>
      <c r="V39" s="34" t="str">
        <f t="shared" si="12"/>
        <v>-</v>
      </c>
      <c r="W39" s="35" t="str">
        <f t="shared" si="28"/>
        <v>-</v>
      </c>
      <c r="X39" s="35" t="str">
        <f t="shared" si="13"/>
        <v>-</v>
      </c>
      <c r="Y39" s="36" t="str">
        <f t="shared" si="14"/>
        <v>-</v>
      </c>
      <c r="Z39" s="34" t="str">
        <f t="shared" si="15"/>
        <v>-</v>
      </c>
      <c r="AA39" s="35" t="str">
        <f t="shared" si="29"/>
        <v>-</v>
      </c>
      <c r="AB39" s="35" t="str">
        <f t="shared" si="16"/>
        <v>-</v>
      </c>
      <c r="AC39" s="36" t="str">
        <f t="shared" si="17"/>
        <v>-</v>
      </c>
      <c r="AD39" s="34" t="str">
        <f t="shared" si="18"/>
        <v>-</v>
      </c>
      <c r="AE39" s="35" t="str">
        <f t="shared" si="30"/>
        <v>-</v>
      </c>
      <c r="AF39" s="35" t="str">
        <f t="shared" si="19"/>
        <v>-</v>
      </c>
      <c r="AG39" s="36" t="str">
        <f t="shared" si="20"/>
        <v>-</v>
      </c>
      <c r="AH39" s="34" t="str">
        <f t="shared" si="21"/>
        <v>-</v>
      </c>
      <c r="AI39" s="35" t="str">
        <f t="shared" si="31"/>
        <v>-</v>
      </c>
      <c r="AJ39" s="35" t="str">
        <f t="shared" si="22"/>
        <v>-</v>
      </c>
      <c r="AK39" s="36" t="str">
        <f t="shared" si="23"/>
        <v>-</v>
      </c>
      <c r="AL39" s="34" t="str">
        <f t="shared" si="32"/>
        <v>-</v>
      </c>
      <c r="AM39" s="35" t="str">
        <f t="shared" si="33"/>
        <v>-</v>
      </c>
      <c r="AN39" s="35" t="str">
        <f t="shared" si="34"/>
        <v>-</v>
      </c>
      <c r="AO39" s="36" t="str">
        <f t="shared" si="35"/>
        <v>-</v>
      </c>
    </row>
    <row r="40" spans="2:41" ht="15" x14ac:dyDescent="0.25">
      <c r="B40" s="425" t="s">
        <v>71</v>
      </c>
      <c r="C40" s="414">
        <v>1.9399999999999977</v>
      </c>
      <c r="D40" s="424" t="s">
        <v>122</v>
      </c>
      <c r="F40" s="34" t="str">
        <f t="shared" si="0"/>
        <v>-</v>
      </c>
      <c r="G40" s="35" t="str">
        <f t="shared" si="24"/>
        <v>-</v>
      </c>
      <c r="H40" s="35" t="str">
        <f t="shared" si="1"/>
        <v>-</v>
      </c>
      <c r="I40" s="36" t="str">
        <f t="shared" si="2"/>
        <v>-</v>
      </c>
      <c r="J40" s="34" t="str">
        <f t="shared" si="3"/>
        <v>-</v>
      </c>
      <c r="K40" s="35" t="str">
        <f t="shared" si="25"/>
        <v>-</v>
      </c>
      <c r="L40" s="35" t="str">
        <f t="shared" si="4"/>
        <v>-</v>
      </c>
      <c r="M40" s="36" t="str">
        <f t="shared" si="5"/>
        <v>-</v>
      </c>
      <c r="N40" s="34" t="str">
        <f t="shared" si="6"/>
        <v>-</v>
      </c>
      <c r="O40" s="35" t="str">
        <f t="shared" si="26"/>
        <v>-</v>
      </c>
      <c r="P40" s="35" t="str">
        <f t="shared" si="7"/>
        <v>-</v>
      </c>
      <c r="Q40" s="36" t="str">
        <f t="shared" si="8"/>
        <v>-</v>
      </c>
      <c r="R40" s="34">
        <f t="shared" si="9"/>
        <v>1</v>
      </c>
      <c r="S40" s="35" t="str">
        <f t="shared" si="27"/>
        <v>-</v>
      </c>
      <c r="T40" s="35" t="str">
        <f t="shared" si="10"/>
        <v>-</v>
      </c>
      <c r="U40" s="36" t="str">
        <f t="shared" si="11"/>
        <v>-</v>
      </c>
      <c r="V40" s="34" t="str">
        <f t="shared" si="12"/>
        <v>-</v>
      </c>
      <c r="W40" s="35" t="str">
        <f t="shared" si="28"/>
        <v>-</v>
      </c>
      <c r="X40" s="35" t="str">
        <f t="shared" si="13"/>
        <v>-</v>
      </c>
      <c r="Y40" s="36" t="str">
        <f t="shared" si="14"/>
        <v>-</v>
      </c>
      <c r="Z40" s="34" t="str">
        <f t="shared" si="15"/>
        <v>-</v>
      </c>
      <c r="AA40" s="35" t="str">
        <f t="shared" si="29"/>
        <v>-</v>
      </c>
      <c r="AB40" s="35" t="str">
        <f t="shared" si="16"/>
        <v>-</v>
      </c>
      <c r="AC40" s="36" t="str">
        <f t="shared" si="17"/>
        <v>-</v>
      </c>
      <c r="AD40" s="34" t="str">
        <f t="shared" si="18"/>
        <v>-</v>
      </c>
      <c r="AE40" s="35" t="str">
        <f t="shared" si="30"/>
        <v>-</v>
      </c>
      <c r="AF40" s="35" t="str">
        <f t="shared" si="19"/>
        <v>-</v>
      </c>
      <c r="AG40" s="36" t="str">
        <f t="shared" si="20"/>
        <v>-</v>
      </c>
      <c r="AH40" s="34" t="str">
        <f t="shared" si="21"/>
        <v>-</v>
      </c>
      <c r="AI40" s="35" t="str">
        <f t="shared" si="31"/>
        <v>-</v>
      </c>
      <c r="AJ40" s="35" t="str">
        <f t="shared" si="22"/>
        <v>-</v>
      </c>
      <c r="AK40" s="36" t="str">
        <f t="shared" si="23"/>
        <v>-</v>
      </c>
      <c r="AL40" s="34" t="str">
        <f t="shared" si="32"/>
        <v>-</v>
      </c>
      <c r="AM40" s="35" t="str">
        <f t="shared" si="33"/>
        <v>-</v>
      </c>
      <c r="AN40" s="35" t="str">
        <f t="shared" si="34"/>
        <v>-</v>
      </c>
      <c r="AO40" s="36" t="str">
        <f t="shared" si="35"/>
        <v>-</v>
      </c>
    </row>
    <row r="41" spans="2:41" ht="15" x14ac:dyDescent="0.25">
      <c r="B41" s="425" t="s">
        <v>72</v>
      </c>
      <c r="C41" s="414">
        <v>1.7899999999999991</v>
      </c>
      <c r="D41" s="424" t="s">
        <v>122</v>
      </c>
      <c r="F41" s="34" t="str">
        <f t="shared" si="0"/>
        <v>-</v>
      </c>
      <c r="G41" s="35" t="str">
        <f t="shared" si="24"/>
        <v>-</v>
      </c>
      <c r="H41" s="35" t="str">
        <f t="shared" si="1"/>
        <v>-</v>
      </c>
      <c r="I41" s="36" t="str">
        <f t="shared" si="2"/>
        <v>-</v>
      </c>
      <c r="J41" s="34" t="str">
        <f t="shared" si="3"/>
        <v>-</v>
      </c>
      <c r="K41" s="35" t="str">
        <f t="shared" si="25"/>
        <v>-</v>
      </c>
      <c r="L41" s="35" t="str">
        <f t="shared" si="4"/>
        <v>-</v>
      </c>
      <c r="M41" s="36" t="str">
        <f t="shared" si="5"/>
        <v>-</v>
      </c>
      <c r="N41" s="34" t="str">
        <f t="shared" si="6"/>
        <v>-</v>
      </c>
      <c r="O41" s="35" t="str">
        <f t="shared" si="26"/>
        <v>-</v>
      </c>
      <c r="P41" s="35" t="str">
        <f t="shared" si="7"/>
        <v>-</v>
      </c>
      <c r="Q41" s="36" t="str">
        <f t="shared" si="8"/>
        <v>-</v>
      </c>
      <c r="R41" s="34">
        <f t="shared" si="9"/>
        <v>1</v>
      </c>
      <c r="S41" s="35" t="str">
        <f t="shared" si="27"/>
        <v>-</v>
      </c>
      <c r="T41" s="35" t="str">
        <f t="shared" si="10"/>
        <v>-</v>
      </c>
      <c r="U41" s="36" t="str">
        <f t="shared" si="11"/>
        <v>-</v>
      </c>
      <c r="V41" s="34" t="str">
        <f t="shared" si="12"/>
        <v>-</v>
      </c>
      <c r="W41" s="35" t="str">
        <f t="shared" si="28"/>
        <v>-</v>
      </c>
      <c r="X41" s="35" t="str">
        <f t="shared" si="13"/>
        <v>-</v>
      </c>
      <c r="Y41" s="36" t="str">
        <f t="shared" si="14"/>
        <v>-</v>
      </c>
      <c r="Z41" s="34" t="str">
        <f t="shared" si="15"/>
        <v>-</v>
      </c>
      <c r="AA41" s="35" t="str">
        <f t="shared" si="29"/>
        <v>-</v>
      </c>
      <c r="AB41" s="35" t="str">
        <f t="shared" si="16"/>
        <v>-</v>
      </c>
      <c r="AC41" s="36" t="str">
        <f t="shared" si="17"/>
        <v>-</v>
      </c>
      <c r="AD41" s="34" t="str">
        <f t="shared" si="18"/>
        <v>-</v>
      </c>
      <c r="AE41" s="35" t="str">
        <f t="shared" si="30"/>
        <v>-</v>
      </c>
      <c r="AF41" s="35" t="str">
        <f t="shared" si="19"/>
        <v>-</v>
      </c>
      <c r="AG41" s="36" t="str">
        <f t="shared" si="20"/>
        <v>-</v>
      </c>
      <c r="AH41" s="34" t="str">
        <f t="shared" si="21"/>
        <v>-</v>
      </c>
      <c r="AI41" s="35" t="str">
        <f t="shared" si="31"/>
        <v>-</v>
      </c>
      <c r="AJ41" s="35" t="str">
        <f t="shared" si="22"/>
        <v>-</v>
      </c>
      <c r="AK41" s="36" t="str">
        <f t="shared" si="23"/>
        <v>-</v>
      </c>
      <c r="AL41" s="34" t="str">
        <f t="shared" si="32"/>
        <v>-</v>
      </c>
      <c r="AM41" s="35" t="str">
        <f t="shared" si="33"/>
        <v>-</v>
      </c>
      <c r="AN41" s="35" t="str">
        <f t="shared" si="34"/>
        <v>-</v>
      </c>
      <c r="AO41" s="36" t="str">
        <f t="shared" si="35"/>
        <v>-</v>
      </c>
    </row>
    <row r="42" spans="2:41" ht="15" x14ac:dyDescent="0.25">
      <c r="B42" s="425" t="s">
        <v>73</v>
      </c>
      <c r="C42" s="414">
        <v>1.9199999999999946</v>
      </c>
      <c r="D42" s="424" t="s">
        <v>122</v>
      </c>
      <c r="F42" s="34" t="str">
        <f t="shared" si="0"/>
        <v>-</v>
      </c>
      <c r="G42" s="35" t="str">
        <f t="shared" si="24"/>
        <v>-</v>
      </c>
      <c r="H42" s="35" t="str">
        <f t="shared" si="1"/>
        <v>-</v>
      </c>
      <c r="I42" s="36" t="str">
        <f t="shared" si="2"/>
        <v>-</v>
      </c>
      <c r="J42" s="34" t="str">
        <f t="shared" si="3"/>
        <v>-</v>
      </c>
      <c r="K42" s="35" t="str">
        <f t="shared" si="25"/>
        <v>-</v>
      </c>
      <c r="L42" s="35" t="str">
        <f t="shared" si="4"/>
        <v>-</v>
      </c>
      <c r="M42" s="36" t="str">
        <f t="shared" si="5"/>
        <v>-</v>
      </c>
      <c r="N42" s="34" t="str">
        <f t="shared" si="6"/>
        <v>-</v>
      </c>
      <c r="O42" s="35" t="str">
        <f t="shared" si="26"/>
        <v>-</v>
      </c>
      <c r="P42" s="35" t="str">
        <f t="shared" si="7"/>
        <v>-</v>
      </c>
      <c r="Q42" s="36" t="str">
        <f t="shared" si="8"/>
        <v>-</v>
      </c>
      <c r="R42" s="34">
        <f t="shared" si="9"/>
        <v>1</v>
      </c>
      <c r="S42" s="35" t="str">
        <f t="shared" si="27"/>
        <v>-</v>
      </c>
      <c r="T42" s="35" t="str">
        <f t="shared" si="10"/>
        <v>-</v>
      </c>
      <c r="U42" s="36" t="str">
        <f t="shared" si="11"/>
        <v>-</v>
      </c>
      <c r="V42" s="34" t="str">
        <f t="shared" si="12"/>
        <v>-</v>
      </c>
      <c r="W42" s="35" t="str">
        <f t="shared" si="28"/>
        <v>-</v>
      </c>
      <c r="X42" s="35" t="str">
        <f t="shared" si="13"/>
        <v>-</v>
      </c>
      <c r="Y42" s="36" t="str">
        <f t="shared" si="14"/>
        <v>-</v>
      </c>
      <c r="Z42" s="34" t="str">
        <f t="shared" si="15"/>
        <v>-</v>
      </c>
      <c r="AA42" s="35" t="str">
        <f t="shared" si="29"/>
        <v>-</v>
      </c>
      <c r="AB42" s="35" t="str">
        <f t="shared" si="16"/>
        <v>-</v>
      </c>
      <c r="AC42" s="36" t="str">
        <f t="shared" si="17"/>
        <v>-</v>
      </c>
      <c r="AD42" s="34" t="str">
        <f t="shared" si="18"/>
        <v>-</v>
      </c>
      <c r="AE42" s="35" t="str">
        <f t="shared" si="30"/>
        <v>-</v>
      </c>
      <c r="AF42" s="35" t="str">
        <f t="shared" si="19"/>
        <v>-</v>
      </c>
      <c r="AG42" s="36" t="str">
        <f t="shared" si="20"/>
        <v>-</v>
      </c>
      <c r="AH42" s="34" t="str">
        <f t="shared" si="21"/>
        <v>-</v>
      </c>
      <c r="AI42" s="35" t="str">
        <f t="shared" si="31"/>
        <v>-</v>
      </c>
      <c r="AJ42" s="35" t="str">
        <f t="shared" si="22"/>
        <v>-</v>
      </c>
      <c r="AK42" s="36" t="str">
        <f t="shared" si="23"/>
        <v>-</v>
      </c>
      <c r="AL42" s="34" t="str">
        <f t="shared" si="32"/>
        <v>-</v>
      </c>
      <c r="AM42" s="35" t="str">
        <f t="shared" si="33"/>
        <v>-</v>
      </c>
      <c r="AN42" s="35" t="str">
        <f t="shared" si="34"/>
        <v>-</v>
      </c>
      <c r="AO42" s="36" t="str">
        <f t="shared" si="35"/>
        <v>-</v>
      </c>
    </row>
    <row r="43" spans="2:41" ht="15" x14ac:dyDescent="0.25">
      <c r="B43" s="425" t="s">
        <v>419</v>
      </c>
      <c r="C43" s="414">
        <v>1.3500000000000014</v>
      </c>
      <c r="D43" s="424" t="s">
        <v>122</v>
      </c>
      <c r="F43" s="34" t="str">
        <f t="shared" si="0"/>
        <v>-</v>
      </c>
      <c r="G43" s="35" t="str">
        <f t="shared" si="24"/>
        <v>-</v>
      </c>
      <c r="H43" s="35" t="str">
        <f t="shared" si="1"/>
        <v>-</v>
      </c>
      <c r="I43" s="36" t="str">
        <f t="shared" si="2"/>
        <v>-</v>
      </c>
      <c r="J43" s="34">
        <f t="shared" si="3"/>
        <v>1</v>
      </c>
      <c r="K43" s="35" t="str">
        <f t="shared" si="25"/>
        <v>-</v>
      </c>
      <c r="L43" s="35" t="str">
        <f t="shared" si="4"/>
        <v>-</v>
      </c>
      <c r="M43" s="36" t="str">
        <f t="shared" si="5"/>
        <v>-</v>
      </c>
      <c r="N43" s="34" t="str">
        <f t="shared" si="6"/>
        <v>-</v>
      </c>
      <c r="O43" s="35" t="str">
        <f t="shared" si="26"/>
        <v>-</v>
      </c>
      <c r="P43" s="35" t="str">
        <f t="shared" si="7"/>
        <v>-</v>
      </c>
      <c r="Q43" s="36" t="str">
        <f t="shared" si="8"/>
        <v>-</v>
      </c>
      <c r="R43" s="34" t="str">
        <f t="shared" si="9"/>
        <v>-</v>
      </c>
      <c r="S43" s="35" t="str">
        <f t="shared" si="27"/>
        <v>-</v>
      </c>
      <c r="T43" s="35" t="str">
        <f t="shared" si="10"/>
        <v>-</v>
      </c>
      <c r="U43" s="36" t="str">
        <f t="shared" si="11"/>
        <v>-</v>
      </c>
      <c r="V43" s="34" t="str">
        <f t="shared" si="12"/>
        <v>-</v>
      </c>
      <c r="W43" s="35" t="str">
        <f t="shared" si="28"/>
        <v>-</v>
      </c>
      <c r="X43" s="35" t="str">
        <f t="shared" si="13"/>
        <v>-</v>
      </c>
      <c r="Y43" s="36" t="str">
        <f t="shared" si="14"/>
        <v>-</v>
      </c>
      <c r="Z43" s="34" t="str">
        <f t="shared" si="15"/>
        <v>-</v>
      </c>
      <c r="AA43" s="35" t="str">
        <f t="shared" si="29"/>
        <v>-</v>
      </c>
      <c r="AB43" s="35" t="str">
        <f t="shared" si="16"/>
        <v>-</v>
      </c>
      <c r="AC43" s="36" t="str">
        <f t="shared" si="17"/>
        <v>-</v>
      </c>
      <c r="AD43" s="34" t="str">
        <f t="shared" si="18"/>
        <v>-</v>
      </c>
      <c r="AE43" s="35" t="str">
        <f t="shared" si="30"/>
        <v>-</v>
      </c>
      <c r="AF43" s="35" t="str">
        <f t="shared" si="19"/>
        <v>-</v>
      </c>
      <c r="AG43" s="36" t="str">
        <f t="shared" si="20"/>
        <v>-</v>
      </c>
      <c r="AH43" s="34" t="str">
        <f t="shared" si="21"/>
        <v>-</v>
      </c>
      <c r="AI43" s="35" t="str">
        <f t="shared" si="31"/>
        <v>-</v>
      </c>
      <c r="AJ43" s="35" t="str">
        <f t="shared" si="22"/>
        <v>-</v>
      </c>
      <c r="AK43" s="36" t="str">
        <f t="shared" si="23"/>
        <v>-</v>
      </c>
      <c r="AL43" s="34" t="str">
        <f t="shared" si="32"/>
        <v>-</v>
      </c>
      <c r="AM43" s="35" t="str">
        <f t="shared" si="33"/>
        <v>-</v>
      </c>
      <c r="AN43" s="35" t="str">
        <f t="shared" si="34"/>
        <v>-</v>
      </c>
      <c r="AO43" s="36" t="str">
        <f t="shared" si="35"/>
        <v>-</v>
      </c>
    </row>
    <row r="44" spans="2:41" ht="15" x14ac:dyDescent="0.25">
      <c r="B44" s="425" t="s">
        <v>74</v>
      </c>
      <c r="C44" s="414">
        <v>2.0899999999999963</v>
      </c>
      <c r="D44" s="424" t="s">
        <v>122</v>
      </c>
      <c r="F44" s="34" t="str">
        <f t="shared" si="0"/>
        <v>-</v>
      </c>
      <c r="G44" s="35" t="str">
        <f t="shared" si="24"/>
        <v>-</v>
      </c>
      <c r="H44" s="35" t="str">
        <f t="shared" si="1"/>
        <v>-</v>
      </c>
      <c r="I44" s="36" t="str">
        <f t="shared" si="2"/>
        <v>-</v>
      </c>
      <c r="J44" s="34" t="str">
        <f t="shared" si="3"/>
        <v>-</v>
      </c>
      <c r="K44" s="35" t="str">
        <f t="shared" si="25"/>
        <v>-</v>
      </c>
      <c r="L44" s="35" t="str">
        <f t="shared" si="4"/>
        <v>-</v>
      </c>
      <c r="M44" s="36" t="str">
        <f t="shared" si="5"/>
        <v>-</v>
      </c>
      <c r="N44" s="34" t="str">
        <f t="shared" si="6"/>
        <v>-</v>
      </c>
      <c r="O44" s="35" t="str">
        <f t="shared" si="26"/>
        <v>-</v>
      </c>
      <c r="P44" s="35" t="str">
        <f t="shared" si="7"/>
        <v>-</v>
      </c>
      <c r="Q44" s="36" t="str">
        <f t="shared" si="8"/>
        <v>-</v>
      </c>
      <c r="R44" s="34" t="str">
        <f t="shared" si="9"/>
        <v>-</v>
      </c>
      <c r="S44" s="35" t="str">
        <f t="shared" si="27"/>
        <v>-</v>
      </c>
      <c r="T44" s="35" t="str">
        <f t="shared" si="10"/>
        <v>-</v>
      </c>
      <c r="U44" s="36" t="str">
        <f t="shared" si="11"/>
        <v>-</v>
      </c>
      <c r="V44" s="34">
        <f t="shared" si="12"/>
        <v>1</v>
      </c>
      <c r="W44" s="35" t="str">
        <f t="shared" si="28"/>
        <v>-</v>
      </c>
      <c r="X44" s="35" t="str">
        <f t="shared" si="13"/>
        <v>-</v>
      </c>
      <c r="Y44" s="36" t="str">
        <f t="shared" si="14"/>
        <v>-</v>
      </c>
      <c r="Z44" s="34" t="str">
        <f t="shared" si="15"/>
        <v>-</v>
      </c>
      <c r="AA44" s="35" t="str">
        <f t="shared" si="29"/>
        <v>-</v>
      </c>
      <c r="AB44" s="35" t="str">
        <f t="shared" si="16"/>
        <v>-</v>
      </c>
      <c r="AC44" s="36" t="str">
        <f t="shared" si="17"/>
        <v>-</v>
      </c>
      <c r="AD44" s="34" t="str">
        <f t="shared" si="18"/>
        <v>-</v>
      </c>
      <c r="AE44" s="35" t="str">
        <f t="shared" si="30"/>
        <v>-</v>
      </c>
      <c r="AF44" s="35" t="str">
        <f t="shared" si="19"/>
        <v>-</v>
      </c>
      <c r="AG44" s="36" t="str">
        <f t="shared" si="20"/>
        <v>-</v>
      </c>
      <c r="AH44" s="34" t="str">
        <f t="shared" si="21"/>
        <v>-</v>
      </c>
      <c r="AI44" s="35" t="str">
        <f t="shared" si="31"/>
        <v>-</v>
      </c>
      <c r="AJ44" s="35" t="str">
        <f t="shared" si="22"/>
        <v>-</v>
      </c>
      <c r="AK44" s="36" t="str">
        <f t="shared" si="23"/>
        <v>-</v>
      </c>
      <c r="AL44" s="34" t="str">
        <f t="shared" si="32"/>
        <v>-</v>
      </c>
      <c r="AM44" s="35" t="str">
        <f t="shared" si="33"/>
        <v>-</v>
      </c>
      <c r="AN44" s="35" t="str">
        <f t="shared" si="34"/>
        <v>-</v>
      </c>
      <c r="AO44" s="36" t="str">
        <f t="shared" si="35"/>
        <v>-</v>
      </c>
    </row>
    <row r="45" spans="2:41" ht="15" x14ac:dyDescent="0.25">
      <c r="B45" s="425" t="s">
        <v>75</v>
      </c>
      <c r="C45" s="414">
        <v>1.6199999999999974</v>
      </c>
      <c r="D45" s="424" t="s">
        <v>122</v>
      </c>
      <c r="F45" s="34" t="str">
        <f t="shared" si="0"/>
        <v>-</v>
      </c>
      <c r="G45" s="35" t="str">
        <f t="shared" si="24"/>
        <v>-</v>
      </c>
      <c r="H45" s="35" t="str">
        <f t="shared" si="1"/>
        <v>-</v>
      </c>
      <c r="I45" s="36" t="str">
        <f t="shared" si="2"/>
        <v>-</v>
      </c>
      <c r="J45" s="34" t="str">
        <f t="shared" si="3"/>
        <v>-</v>
      </c>
      <c r="K45" s="35" t="str">
        <f t="shared" si="25"/>
        <v>-</v>
      </c>
      <c r="L45" s="35" t="str">
        <f t="shared" si="4"/>
        <v>-</v>
      </c>
      <c r="M45" s="36" t="str">
        <f t="shared" si="5"/>
        <v>-</v>
      </c>
      <c r="N45" s="34">
        <f t="shared" si="6"/>
        <v>1</v>
      </c>
      <c r="O45" s="35" t="str">
        <f t="shared" si="26"/>
        <v>-</v>
      </c>
      <c r="P45" s="35" t="str">
        <f t="shared" si="7"/>
        <v>-</v>
      </c>
      <c r="Q45" s="36" t="str">
        <f t="shared" si="8"/>
        <v>-</v>
      </c>
      <c r="R45" s="34" t="str">
        <f t="shared" si="9"/>
        <v>-</v>
      </c>
      <c r="S45" s="35" t="str">
        <f t="shared" si="27"/>
        <v>-</v>
      </c>
      <c r="T45" s="35" t="str">
        <f t="shared" si="10"/>
        <v>-</v>
      </c>
      <c r="U45" s="36" t="str">
        <f t="shared" si="11"/>
        <v>-</v>
      </c>
      <c r="V45" s="34" t="str">
        <f t="shared" si="12"/>
        <v>-</v>
      </c>
      <c r="W45" s="35" t="str">
        <f t="shared" si="28"/>
        <v>-</v>
      </c>
      <c r="X45" s="35" t="str">
        <f t="shared" si="13"/>
        <v>-</v>
      </c>
      <c r="Y45" s="36" t="str">
        <f t="shared" si="14"/>
        <v>-</v>
      </c>
      <c r="Z45" s="34" t="str">
        <f t="shared" si="15"/>
        <v>-</v>
      </c>
      <c r="AA45" s="35" t="str">
        <f t="shared" si="29"/>
        <v>-</v>
      </c>
      <c r="AB45" s="35" t="str">
        <f t="shared" si="16"/>
        <v>-</v>
      </c>
      <c r="AC45" s="36" t="str">
        <f t="shared" si="17"/>
        <v>-</v>
      </c>
      <c r="AD45" s="34" t="str">
        <f t="shared" si="18"/>
        <v>-</v>
      </c>
      <c r="AE45" s="35" t="str">
        <f t="shared" si="30"/>
        <v>-</v>
      </c>
      <c r="AF45" s="35" t="str">
        <f t="shared" si="19"/>
        <v>-</v>
      </c>
      <c r="AG45" s="36" t="str">
        <f t="shared" si="20"/>
        <v>-</v>
      </c>
      <c r="AH45" s="34" t="str">
        <f t="shared" si="21"/>
        <v>-</v>
      </c>
      <c r="AI45" s="35" t="str">
        <f t="shared" si="31"/>
        <v>-</v>
      </c>
      <c r="AJ45" s="35" t="str">
        <f t="shared" si="22"/>
        <v>-</v>
      </c>
      <c r="AK45" s="36" t="str">
        <f t="shared" si="23"/>
        <v>-</v>
      </c>
      <c r="AL45" s="34" t="str">
        <f t="shared" si="32"/>
        <v>-</v>
      </c>
      <c r="AM45" s="35" t="str">
        <f t="shared" si="33"/>
        <v>-</v>
      </c>
      <c r="AN45" s="35" t="str">
        <f t="shared" si="34"/>
        <v>-</v>
      </c>
      <c r="AO45" s="36" t="str">
        <f t="shared" si="35"/>
        <v>-</v>
      </c>
    </row>
    <row r="46" spans="2:41" ht="15" x14ac:dyDescent="0.25">
      <c r="B46" s="425" t="s">
        <v>76</v>
      </c>
      <c r="C46" s="414">
        <v>1.5800000000000018</v>
      </c>
      <c r="D46" s="424" t="s">
        <v>122</v>
      </c>
      <c r="F46" s="34" t="str">
        <f t="shared" si="0"/>
        <v>-</v>
      </c>
      <c r="G46" s="35" t="str">
        <f t="shared" si="24"/>
        <v>-</v>
      </c>
      <c r="H46" s="35" t="str">
        <f t="shared" si="1"/>
        <v>-</v>
      </c>
      <c r="I46" s="36" t="str">
        <f t="shared" si="2"/>
        <v>-</v>
      </c>
      <c r="J46" s="34" t="str">
        <f t="shared" si="3"/>
        <v>-</v>
      </c>
      <c r="K46" s="35" t="str">
        <f t="shared" si="25"/>
        <v>-</v>
      </c>
      <c r="L46" s="35" t="str">
        <f t="shared" si="4"/>
        <v>-</v>
      </c>
      <c r="M46" s="36" t="str">
        <f t="shared" si="5"/>
        <v>-</v>
      </c>
      <c r="N46" s="34">
        <f t="shared" si="6"/>
        <v>1</v>
      </c>
      <c r="O46" s="35" t="str">
        <f t="shared" si="26"/>
        <v>-</v>
      </c>
      <c r="P46" s="35" t="str">
        <f t="shared" si="7"/>
        <v>-</v>
      </c>
      <c r="Q46" s="36" t="str">
        <f t="shared" si="8"/>
        <v>-</v>
      </c>
      <c r="R46" s="34" t="str">
        <f t="shared" si="9"/>
        <v>-</v>
      </c>
      <c r="S46" s="35" t="str">
        <f t="shared" si="27"/>
        <v>-</v>
      </c>
      <c r="T46" s="35" t="str">
        <f t="shared" si="10"/>
        <v>-</v>
      </c>
      <c r="U46" s="36" t="str">
        <f t="shared" si="11"/>
        <v>-</v>
      </c>
      <c r="V46" s="34" t="str">
        <f t="shared" si="12"/>
        <v>-</v>
      </c>
      <c r="W46" s="35" t="str">
        <f t="shared" si="28"/>
        <v>-</v>
      </c>
      <c r="X46" s="35" t="str">
        <f t="shared" si="13"/>
        <v>-</v>
      </c>
      <c r="Y46" s="36" t="str">
        <f t="shared" si="14"/>
        <v>-</v>
      </c>
      <c r="Z46" s="34" t="str">
        <f t="shared" si="15"/>
        <v>-</v>
      </c>
      <c r="AA46" s="35" t="str">
        <f t="shared" si="29"/>
        <v>-</v>
      </c>
      <c r="AB46" s="35" t="str">
        <f t="shared" si="16"/>
        <v>-</v>
      </c>
      <c r="AC46" s="36" t="str">
        <f t="shared" si="17"/>
        <v>-</v>
      </c>
      <c r="AD46" s="34" t="str">
        <f t="shared" si="18"/>
        <v>-</v>
      </c>
      <c r="AE46" s="35" t="str">
        <f t="shared" si="30"/>
        <v>-</v>
      </c>
      <c r="AF46" s="35" t="str">
        <f t="shared" si="19"/>
        <v>-</v>
      </c>
      <c r="AG46" s="36" t="str">
        <f t="shared" si="20"/>
        <v>-</v>
      </c>
      <c r="AH46" s="34" t="str">
        <f t="shared" si="21"/>
        <v>-</v>
      </c>
      <c r="AI46" s="35" t="str">
        <f t="shared" si="31"/>
        <v>-</v>
      </c>
      <c r="AJ46" s="35" t="str">
        <f t="shared" si="22"/>
        <v>-</v>
      </c>
      <c r="AK46" s="36" t="str">
        <f t="shared" si="23"/>
        <v>-</v>
      </c>
      <c r="AL46" s="34" t="str">
        <f t="shared" si="32"/>
        <v>-</v>
      </c>
      <c r="AM46" s="35" t="str">
        <f t="shared" si="33"/>
        <v>-</v>
      </c>
      <c r="AN46" s="35" t="str">
        <f t="shared" si="34"/>
        <v>-</v>
      </c>
      <c r="AO46" s="36" t="str">
        <f t="shared" si="35"/>
        <v>-</v>
      </c>
    </row>
    <row r="47" spans="2:41" ht="15" x14ac:dyDescent="0.25">
      <c r="B47" s="425" t="s">
        <v>77</v>
      </c>
      <c r="C47" s="414">
        <v>2.3300000000000018</v>
      </c>
      <c r="D47" s="424" t="s">
        <v>122</v>
      </c>
      <c r="F47" s="34" t="str">
        <f t="shared" si="0"/>
        <v>-</v>
      </c>
      <c r="G47" s="35" t="str">
        <f t="shared" si="24"/>
        <v>-</v>
      </c>
      <c r="H47" s="35" t="str">
        <f t="shared" si="1"/>
        <v>-</v>
      </c>
      <c r="I47" s="36" t="str">
        <f t="shared" si="2"/>
        <v>-</v>
      </c>
      <c r="J47" s="34" t="str">
        <f t="shared" si="3"/>
        <v>-</v>
      </c>
      <c r="K47" s="35" t="str">
        <f t="shared" si="25"/>
        <v>-</v>
      </c>
      <c r="L47" s="35" t="str">
        <f t="shared" si="4"/>
        <v>-</v>
      </c>
      <c r="M47" s="36" t="str">
        <f t="shared" si="5"/>
        <v>-</v>
      </c>
      <c r="N47" s="34" t="str">
        <f t="shared" si="6"/>
        <v>-</v>
      </c>
      <c r="O47" s="35" t="str">
        <f t="shared" si="26"/>
        <v>-</v>
      </c>
      <c r="P47" s="35" t="str">
        <f t="shared" si="7"/>
        <v>-</v>
      </c>
      <c r="Q47" s="36" t="str">
        <f t="shared" si="8"/>
        <v>-</v>
      </c>
      <c r="R47" s="34" t="str">
        <f t="shared" si="9"/>
        <v>-</v>
      </c>
      <c r="S47" s="35" t="str">
        <f t="shared" si="27"/>
        <v>-</v>
      </c>
      <c r="T47" s="35" t="str">
        <f t="shared" si="10"/>
        <v>-</v>
      </c>
      <c r="U47" s="36" t="str">
        <f t="shared" si="11"/>
        <v>-</v>
      </c>
      <c r="V47" s="34">
        <f t="shared" si="12"/>
        <v>1</v>
      </c>
      <c r="W47" s="35" t="str">
        <f t="shared" si="28"/>
        <v>-</v>
      </c>
      <c r="X47" s="35" t="str">
        <f t="shared" si="13"/>
        <v>-</v>
      </c>
      <c r="Y47" s="36" t="str">
        <f t="shared" si="14"/>
        <v>-</v>
      </c>
      <c r="Z47" s="34" t="str">
        <f t="shared" si="15"/>
        <v>-</v>
      </c>
      <c r="AA47" s="35" t="str">
        <f t="shared" si="29"/>
        <v>-</v>
      </c>
      <c r="AB47" s="35" t="str">
        <f t="shared" si="16"/>
        <v>-</v>
      </c>
      <c r="AC47" s="36" t="str">
        <f t="shared" si="17"/>
        <v>-</v>
      </c>
      <c r="AD47" s="34" t="str">
        <f t="shared" si="18"/>
        <v>-</v>
      </c>
      <c r="AE47" s="35" t="str">
        <f t="shared" si="30"/>
        <v>-</v>
      </c>
      <c r="AF47" s="35" t="str">
        <f t="shared" si="19"/>
        <v>-</v>
      </c>
      <c r="AG47" s="36" t="str">
        <f t="shared" si="20"/>
        <v>-</v>
      </c>
      <c r="AH47" s="34" t="str">
        <f t="shared" si="21"/>
        <v>-</v>
      </c>
      <c r="AI47" s="35" t="str">
        <f t="shared" si="31"/>
        <v>-</v>
      </c>
      <c r="AJ47" s="35" t="str">
        <f t="shared" si="22"/>
        <v>-</v>
      </c>
      <c r="AK47" s="36" t="str">
        <f t="shared" si="23"/>
        <v>-</v>
      </c>
      <c r="AL47" s="34" t="str">
        <f t="shared" si="32"/>
        <v>-</v>
      </c>
      <c r="AM47" s="35" t="str">
        <f t="shared" si="33"/>
        <v>-</v>
      </c>
      <c r="AN47" s="35" t="str">
        <f t="shared" si="34"/>
        <v>-</v>
      </c>
      <c r="AO47" s="36" t="str">
        <f t="shared" si="35"/>
        <v>-</v>
      </c>
    </row>
    <row r="48" spans="2:41" ht="15" x14ac:dyDescent="0.25">
      <c r="B48" s="425" t="s">
        <v>78</v>
      </c>
      <c r="C48" s="414">
        <v>1.3700000000000045</v>
      </c>
      <c r="D48" s="424" t="s">
        <v>122</v>
      </c>
      <c r="F48" s="34" t="str">
        <f t="shared" si="0"/>
        <v>-</v>
      </c>
      <c r="G48" s="35" t="str">
        <f t="shared" si="24"/>
        <v>-</v>
      </c>
      <c r="H48" s="35" t="str">
        <f t="shared" si="1"/>
        <v>-</v>
      </c>
      <c r="I48" s="36" t="str">
        <f t="shared" si="2"/>
        <v>-</v>
      </c>
      <c r="J48" s="34">
        <f t="shared" si="3"/>
        <v>1</v>
      </c>
      <c r="K48" s="35" t="str">
        <f t="shared" si="25"/>
        <v>-</v>
      </c>
      <c r="L48" s="35" t="str">
        <f t="shared" si="4"/>
        <v>-</v>
      </c>
      <c r="M48" s="36" t="str">
        <f t="shared" si="5"/>
        <v>-</v>
      </c>
      <c r="N48" s="34" t="str">
        <f t="shared" si="6"/>
        <v>-</v>
      </c>
      <c r="O48" s="35" t="str">
        <f t="shared" si="26"/>
        <v>-</v>
      </c>
      <c r="P48" s="35" t="str">
        <f t="shared" si="7"/>
        <v>-</v>
      </c>
      <c r="Q48" s="36" t="str">
        <f t="shared" si="8"/>
        <v>-</v>
      </c>
      <c r="R48" s="34" t="str">
        <f t="shared" si="9"/>
        <v>-</v>
      </c>
      <c r="S48" s="35" t="str">
        <f t="shared" si="27"/>
        <v>-</v>
      </c>
      <c r="T48" s="35" t="str">
        <f t="shared" si="10"/>
        <v>-</v>
      </c>
      <c r="U48" s="36" t="str">
        <f t="shared" si="11"/>
        <v>-</v>
      </c>
      <c r="V48" s="34" t="str">
        <f t="shared" si="12"/>
        <v>-</v>
      </c>
      <c r="W48" s="35" t="str">
        <f t="shared" si="28"/>
        <v>-</v>
      </c>
      <c r="X48" s="35" t="str">
        <f t="shared" si="13"/>
        <v>-</v>
      </c>
      <c r="Y48" s="36" t="str">
        <f t="shared" si="14"/>
        <v>-</v>
      </c>
      <c r="Z48" s="34" t="str">
        <f t="shared" si="15"/>
        <v>-</v>
      </c>
      <c r="AA48" s="35" t="str">
        <f t="shared" si="29"/>
        <v>-</v>
      </c>
      <c r="AB48" s="35" t="str">
        <f t="shared" si="16"/>
        <v>-</v>
      </c>
      <c r="AC48" s="36" t="str">
        <f t="shared" si="17"/>
        <v>-</v>
      </c>
      <c r="AD48" s="34" t="str">
        <f t="shared" si="18"/>
        <v>-</v>
      </c>
      <c r="AE48" s="35" t="str">
        <f t="shared" si="30"/>
        <v>-</v>
      </c>
      <c r="AF48" s="35" t="str">
        <f t="shared" si="19"/>
        <v>-</v>
      </c>
      <c r="AG48" s="36" t="str">
        <f t="shared" si="20"/>
        <v>-</v>
      </c>
      <c r="AH48" s="34" t="str">
        <f t="shared" si="21"/>
        <v>-</v>
      </c>
      <c r="AI48" s="35" t="str">
        <f t="shared" si="31"/>
        <v>-</v>
      </c>
      <c r="AJ48" s="35" t="str">
        <f t="shared" si="22"/>
        <v>-</v>
      </c>
      <c r="AK48" s="36" t="str">
        <f t="shared" si="23"/>
        <v>-</v>
      </c>
      <c r="AL48" s="34" t="str">
        <f t="shared" si="32"/>
        <v>-</v>
      </c>
      <c r="AM48" s="35" t="str">
        <f t="shared" si="33"/>
        <v>-</v>
      </c>
      <c r="AN48" s="35" t="str">
        <f t="shared" si="34"/>
        <v>-</v>
      </c>
      <c r="AO48" s="36" t="str">
        <f t="shared" si="35"/>
        <v>-</v>
      </c>
    </row>
    <row r="49" spans="2:41" ht="15" x14ac:dyDescent="0.25">
      <c r="B49" s="425" t="s">
        <v>79</v>
      </c>
      <c r="C49" s="414">
        <v>1.3700000000000045</v>
      </c>
      <c r="D49" s="424" t="s">
        <v>122</v>
      </c>
      <c r="F49" s="34" t="str">
        <f t="shared" si="0"/>
        <v>-</v>
      </c>
      <c r="G49" s="35" t="str">
        <f t="shared" si="24"/>
        <v>-</v>
      </c>
      <c r="H49" s="35" t="str">
        <f t="shared" si="1"/>
        <v>-</v>
      </c>
      <c r="I49" s="36" t="str">
        <f t="shared" si="2"/>
        <v>-</v>
      </c>
      <c r="J49" s="34">
        <f t="shared" si="3"/>
        <v>1</v>
      </c>
      <c r="K49" s="35" t="str">
        <f t="shared" si="25"/>
        <v>-</v>
      </c>
      <c r="L49" s="35" t="str">
        <f t="shared" si="4"/>
        <v>-</v>
      </c>
      <c r="M49" s="36" t="str">
        <f t="shared" si="5"/>
        <v>-</v>
      </c>
      <c r="N49" s="34" t="str">
        <f t="shared" si="6"/>
        <v>-</v>
      </c>
      <c r="O49" s="35" t="str">
        <f t="shared" si="26"/>
        <v>-</v>
      </c>
      <c r="P49" s="35" t="str">
        <f t="shared" si="7"/>
        <v>-</v>
      </c>
      <c r="Q49" s="36" t="str">
        <f t="shared" si="8"/>
        <v>-</v>
      </c>
      <c r="R49" s="34" t="str">
        <f t="shared" si="9"/>
        <v>-</v>
      </c>
      <c r="S49" s="35" t="str">
        <f t="shared" si="27"/>
        <v>-</v>
      </c>
      <c r="T49" s="35" t="str">
        <f t="shared" si="10"/>
        <v>-</v>
      </c>
      <c r="U49" s="36" t="str">
        <f t="shared" si="11"/>
        <v>-</v>
      </c>
      <c r="V49" s="34" t="str">
        <f t="shared" si="12"/>
        <v>-</v>
      </c>
      <c r="W49" s="35" t="str">
        <f t="shared" si="28"/>
        <v>-</v>
      </c>
      <c r="X49" s="35" t="str">
        <f t="shared" si="13"/>
        <v>-</v>
      </c>
      <c r="Y49" s="36" t="str">
        <f t="shared" si="14"/>
        <v>-</v>
      </c>
      <c r="Z49" s="34" t="str">
        <f t="shared" si="15"/>
        <v>-</v>
      </c>
      <c r="AA49" s="35" t="str">
        <f t="shared" si="29"/>
        <v>-</v>
      </c>
      <c r="AB49" s="35" t="str">
        <f t="shared" si="16"/>
        <v>-</v>
      </c>
      <c r="AC49" s="36" t="str">
        <f t="shared" si="17"/>
        <v>-</v>
      </c>
      <c r="AD49" s="34" t="str">
        <f t="shared" si="18"/>
        <v>-</v>
      </c>
      <c r="AE49" s="35" t="str">
        <f t="shared" si="30"/>
        <v>-</v>
      </c>
      <c r="AF49" s="35" t="str">
        <f t="shared" si="19"/>
        <v>-</v>
      </c>
      <c r="AG49" s="36" t="str">
        <f t="shared" si="20"/>
        <v>-</v>
      </c>
      <c r="AH49" s="34" t="str">
        <f t="shared" si="21"/>
        <v>-</v>
      </c>
      <c r="AI49" s="35" t="str">
        <f t="shared" si="31"/>
        <v>-</v>
      </c>
      <c r="AJ49" s="35" t="str">
        <f t="shared" si="22"/>
        <v>-</v>
      </c>
      <c r="AK49" s="36" t="str">
        <f t="shared" si="23"/>
        <v>-</v>
      </c>
      <c r="AL49" s="34" t="str">
        <f t="shared" si="32"/>
        <v>-</v>
      </c>
      <c r="AM49" s="35" t="str">
        <f t="shared" si="33"/>
        <v>-</v>
      </c>
      <c r="AN49" s="35" t="str">
        <f t="shared" si="34"/>
        <v>-</v>
      </c>
      <c r="AO49" s="36" t="str">
        <f t="shared" si="35"/>
        <v>-</v>
      </c>
    </row>
    <row r="50" spans="2:41" ht="15" x14ac:dyDescent="0.25">
      <c r="B50" s="425" t="s">
        <v>420</v>
      </c>
      <c r="C50" s="414">
        <v>1.1999999999999957</v>
      </c>
      <c r="D50" s="424" t="s">
        <v>122</v>
      </c>
      <c r="F50" s="34">
        <f t="shared" si="0"/>
        <v>1</v>
      </c>
      <c r="G50" s="35" t="str">
        <f t="shared" si="24"/>
        <v>-</v>
      </c>
      <c r="H50" s="35" t="str">
        <f t="shared" si="1"/>
        <v>-</v>
      </c>
      <c r="I50" s="36" t="str">
        <f t="shared" si="2"/>
        <v>-</v>
      </c>
      <c r="J50" s="34" t="str">
        <f t="shared" si="3"/>
        <v>-</v>
      </c>
      <c r="K50" s="35" t="str">
        <f t="shared" si="25"/>
        <v>-</v>
      </c>
      <c r="L50" s="35" t="str">
        <f t="shared" si="4"/>
        <v>-</v>
      </c>
      <c r="M50" s="36" t="str">
        <f t="shared" si="5"/>
        <v>-</v>
      </c>
      <c r="N50" s="34" t="str">
        <f t="shared" si="6"/>
        <v>-</v>
      </c>
      <c r="O50" s="35" t="str">
        <f t="shared" si="26"/>
        <v>-</v>
      </c>
      <c r="P50" s="35" t="str">
        <f t="shared" si="7"/>
        <v>-</v>
      </c>
      <c r="Q50" s="36" t="str">
        <f t="shared" si="8"/>
        <v>-</v>
      </c>
      <c r="R50" s="34" t="str">
        <f t="shared" si="9"/>
        <v>-</v>
      </c>
      <c r="S50" s="35" t="str">
        <f t="shared" si="27"/>
        <v>-</v>
      </c>
      <c r="T50" s="35" t="str">
        <f t="shared" si="10"/>
        <v>-</v>
      </c>
      <c r="U50" s="36" t="str">
        <f t="shared" si="11"/>
        <v>-</v>
      </c>
      <c r="V50" s="34" t="str">
        <f t="shared" si="12"/>
        <v>-</v>
      </c>
      <c r="W50" s="35" t="str">
        <f t="shared" si="28"/>
        <v>-</v>
      </c>
      <c r="X50" s="35" t="str">
        <f t="shared" si="13"/>
        <v>-</v>
      </c>
      <c r="Y50" s="36" t="str">
        <f t="shared" si="14"/>
        <v>-</v>
      </c>
      <c r="Z50" s="34" t="str">
        <f t="shared" si="15"/>
        <v>-</v>
      </c>
      <c r="AA50" s="35" t="str">
        <f t="shared" si="29"/>
        <v>-</v>
      </c>
      <c r="AB50" s="35" t="str">
        <f t="shared" si="16"/>
        <v>-</v>
      </c>
      <c r="AC50" s="36" t="str">
        <f t="shared" si="17"/>
        <v>-</v>
      </c>
      <c r="AD50" s="34" t="str">
        <f t="shared" si="18"/>
        <v>-</v>
      </c>
      <c r="AE50" s="35" t="str">
        <f t="shared" si="30"/>
        <v>-</v>
      </c>
      <c r="AF50" s="35" t="str">
        <f t="shared" si="19"/>
        <v>-</v>
      </c>
      <c r="AG50" s="36" t="str">
        <f t="shared" si="20"/>
        <v>-</v>
      </c>
      <c r="AH50" s="34" t="str">
        <f t="shared" si="21"/>
        <v>-</v>
      </c>
      <c r="AI50" s="35" t="str">
        <f t="shared" si="31"/>
        <v>-</v>
      </c>
      <c r="AJ50" s="35" t="str">
        <f t="shared" si="22"/>
        <v>-</v>
      </c>
      <c r="AK50" s="36" t="str">
        <f t="shared" si="23"/>
        <v>-</v>
      </c>
      <c r="AL50" s="34" t="str">
        <f t="shared" si="32"/>
        <v>-</v>
      </c>
      <c r="AM50" s="35" t="str">
        <f t="shared" si="33"/>
        <v>-</v>
      </c>
      <c r="AN50" s="35" t="str">
        <f t="shared" si="34"/>
        <v>-</v>
      </c>
      <c r="AO50" s="36" t="str">
        <f t="shared" si="35"/>
        <v>-</v>
      </c>
    </row>
    <row r="51" spans="2:41" ht="15" x14ac:dyDescent="0.25">
      <c r="B51" s="425" t="s">
        <v>80</v>
      </c>
      <c r="C51" s="414">
        <v>2.009999999999998</v>
      </c>
      <c r="D51" s="424" t="s">
        <v>122</v>
      </c>
      <c r="F51" s="34" t="str">
        <f t="shared" si="0"/>
        <v>-</v>
      </c>
      <c r="G51" s="35" t="str">
        <f t="shared" si="24"/>
        <v>-</v>
      </c>
      <c r="H51" s="35" t="str">
        <f t="shared" si="1"/>
        <v>-</v>
      </c>
      <c r="I51" s="36" t="str">
        <f t="shared" si="2"/>
        <v>-</v>
      </c>
      <c r="J51" s="34" t="str">
        <f t="shared" si="3"/>
        <v>-</v>
      </c>
      <c r="K51" s="35" t="str">
        <f t="shared" si="25"/>
        <v>-</v>
      </c>
      <c r="L51" s="35" t="str">
        <f t="shared" si="4"/>
        <v>-</v>
      </c>
      <c r="M51" s="36" t="str">
        <f t="shared" si="5"/>
        <v>-</v>
      </c>
      <c r="N51" s="34" t="str">
        <f t="shared" si="6"/>
        <v>-</v>
      </c>
      <c r="O51" s="35" t="str">
        <f t="shared" si="26"/>
        <v>-</v>
      </c>
      <c r="P51" s="35" t="str">
        <f t="shared" si="7"/>
        <v>-</v>
      </c>
      <c r="Q51" s="36" t="str">
        <f t="shared" si="8"/>
        <v>-</v>
      </c>
      <c r="R51" s="34" t="str">
        <f t="shared" si="9"/>
        <v>-</v>
      </c>
      <c r="S51" s="35" t="str">
        <f t="shared" si="27"/>
        <v>-</v>
      </c>
      <c r="T51" s="35" t="str">
        <f t="shared" si="10"/>
        <v>-</v>
      </c>
      <c r="U51" s="36" t="str">
        <f t="shared" si="11"/>
        <v>-</v>
      </c>
      <c r="V51" s="34">
        <f t="shared" si="12"/>
        <v>1</v>
      </c>
      <c r="W51" s="35" t="str">
        <f t="shared" si="28"/>
        <v>-</v>
      </c>
      <c r="X51" s="35" t="str">
        <f t="shared" si="13"/>
        <v>-</v>
      </c>
      <c r="Y51" s="36" t="str">
        <f t="shared" si="14"/>
        <v>-</v>
      </c>
      <c r="Z51" s="34" t="str">
        <f t="shared" si="15"/>
        <v>-</v>
      </c>
      <c r="AA51" s="35" t="str">
        <f t="shared" si="29"/>
        <v>-</v>
      </c>
      <c r="AB51" s="35" t="str">
        <f t="shared" si="16"/>
        <v>-</v>
      </c>
      <c r="AC51" s="36" t="str">
        <f t="shared" si="17"/>
        <v>-</v>
      </c>
      <c r="AD51" s="34" t="str">
        <f t="shared" si="18"/>
        <v>-</v>
      </c>
      <c r="AE51" s="35" t="str">
        <f t="shared" si="30"/>
        <v>-</v>
      </c>
      <c r="AF51" s="35" t="str">
        <f t="shared" si="19"/>
        <v>-</v>
      </c>
      <c r="AG51" s="36" t="str">
        <f t="shared" si="20"/>
        <v>-</v>
      </c>
      <c r="AH51" s="34" t="str">
        <f t="shared" si="21"/>
        <v>-</v>
      </c>
      <c r="AI51" s="35" t="str">
        <f t="shared" si="31"/>
        <v>-</v>
      </c>
      <c r="AJ51" s="35" t="str">
        <f t="shared" si="22"/>
        <v>-</v>
      </c>
      <c r="AK51" s="36" t="str">
        <f t="shared" si="23"/>
        <v>-</v>
      </c>
      <c r="AL51" s="34" t="str">
        <f t="shared" si="32"/>
        <v>-</v>
      </c>
      <c r="AM51" s="35" t="str">
        <f t="shared" si="33"/>
        <v>-</v>
      </c>
      <c r="AN51" s="35" t="str">
        <f t="shared" si="34"/>
        <v>-</v>
      </c>
      <c r="AO51" s="36" t="str">
        <f t="shared" si="35"/>
        <v>-</v>
      </c>
    </row>
    <row r="52" spans="2:41" ht="15" x14ac:dyDescent="0.25">
      <c r="B52" s="425" t="s">
        <v>81</v>
      </c>
      <c r="C52" s="414">
        <v>1.8400000000000034</v>
      </c>
      <c r="D52" s="424" t="s">
        <v>122</v>
      </c>
      <c r="F52" s="34" t="str">
        <f t="shared" si="0"/>
        <v>-</v>
      </c>
      <c r="G52" s="35" t="str">
        <f t="shared" si="24"/>
        <v>-</v>
      </c>
      <c r="H52" s="35" t="str">
        <f t="shared" si="1"/>
        <v>-</v>
      </c>
      <c r="I52" s="36" t="str">
        <f t="shared" si="2"/>
        <v>-</v>
      </c>
      <c r="J52" s="34" t="str">
        <f t="shared" si="3"/>
        <v>-</v>
      </c>
      <c r="K52" s="35" t="str">
        <f t="shared" si="25"/>
        <v>-</v>
      </c>
      <c r="L52" s="35" t="str">
        <f t="shared" si="4"/>
        <v>-</v>
      </c>
      <c r="M52" s="36" t="str">
        <f t="shared" si="5"/>
        <v>-</v>
      </c>
      <c r="N52" s="34" t="str">
        <f t="shared" si="6"/>
        <v>-</v>
      </c>
      <c r="O52" s="35" t="str">
        <f t="shared" si="26"/>
        <v>-</v>
      </c>
      <c r="P52" s="35" t="str">
        <f t="shared" si="7"/>
        <v>-</v>
      </c>
      <c r="Q52" s="36" t="str">
        <f t="shared" si="8"/>
        <v>-</v>
      </c>
      <c r="R52" s="34">
        <f t="shared" si="9"/>
        <v>1</v>
      </c>
      <c r="S52" s="35" t="str">
        <f t="shared" si="27"/>
        <v>-</v>
      </c>
      <c r="T52" s="35" t="str">
        <f t="shared" si="10"/>
        <v>-</v>
      </c>
      <c r="U52" s="36" t="str">
        <f t="shared" si="11"/>
        <v>-</v>
      </c>
      <c r="V52" s="34" t="str">
        <f t="shared" si="12"/>
        <v>-</v>
      </c>
      <c r="W52" s="35" t="str">
        <f t="shared" si="28"/>
        <v>-</v>
      </c>
      <c r="X52" s="35" t="str">
        <f t="shared" si="13"/>
        <v>-</v>
      </c>
      <c r="Y52" s="36" t="str">
        <f t="shared" si="14"/>
        <v>-</v>
      </c>
      <c r="Z52" s="34" t="str">
        <f t="shared" si="15"/>
        <v>-</v>
      </c>
      <c r="AA52" s="35" t="str">
        <f t="shared" si="29"/>
        <v>-</v>
      </c>
      <c r="AB52" s="35" t="str">
        <f t="shared" si="16"/>
        <v>-</v>
      </c>
      <c r="AC52" s="36" t="str">
        <f t="shared" si="17"/>
        <v>-</v>
      </c>
      <c r="AD52" s="34" t="str">
        <f t="shared" si="18"/>
        <v>-</v>
      </c>
      <c r="AE52" s="35" t="str">
        <f t="shared" si="30"/>
        <v>-</v>
      </c>
      <c r="AF52" s="35" t="str">
        <f t="shared" si="19"/>
        <v>-</v>
      </c>
      <c r="AG52" s="36" t="str">
        <f t="shared" si="20"/>
        <v>-</v>
      </c>
      <c r="AH52" s="34" t="str">
        <f t="shared" si="21"/>
        <v>-</v>
      </c>
      <c r="AI52" s="35" t="str">
        <f t="shared" si="31"/>
        <v>-</v>
      </c>
      <c r="AJ52" s="35" t="str">
        <f t="shared" si="22"/>
        <v>-</v>
      </c>
      <c r="AK52" s="36" t="str">
        <f t="shared" si="23"/>
        <v>-</v>
      </c>
      <c r="AL52" s="34" t="str">
        <f t="shared" si="32"/>
        <v>-</v>
      </c>
      <c r="AM52" s="35" t="str">
        <f t="shared" si="33"/>
        <v>-</v>
      </c>
      <c r="AN52" s="35" t="str">
        <f t="shared" si="34"/>
        <v>-</v>
      </c>
      <c r="AO52" s="36" t="str">
        <f t="shared" si="35"/>
        <v>-</v>
      </c>
    </row>
    <row r="53" spans="2:41" ht="15" x14ac:dyDescent="0.25">
      <c r="B53" s="425" t="s">
        <v>82</v>
      </c>
      <c r="C53" s="414">
        <v>1.2000000000000028</v>
      </c>
      <c r="D53" s="424" t="s">
        <v>122</v>
      </c>
      <c r="F53" s="34">
        <f t="shared" si="0"/>
        <v>1</v>
      </c>
      <c r="G53" s="35" t="str">
        <f t="shared" si="24"/>
        <v>-</v>
      </c>
      <c r="H53" s="35" t="str">
        <f t="shared" si="1"/>
        <v>-</v>
      </c>
      <c r="I53" s="36" t="str">
        <f t="shared" si="2"/>
        <v>-</v>
      </c>
      <c r="J53" s="34" t="str">
        <f t="shared" si="3"/>
        <v>-</v>
      </c>
      <c r="K53" s="35" t="str">
        <f t="shared" si="25"/>
        <v>-</v>
      </c>
      <c r="L53" s="35" t="str">
        <f t="shared" si="4"/>
        <v>-</v>
      </c>
      <c r="M53" s="36" t="str">
        <f t="shared" si="5"/>
        <v>-</v>
      </c>
      <c r="N53" s="34" t="str">
        <f t="shared" si="6"/>
        <v>-</v>
      </c>
      <c r="O53" s="35" t="str">
        <f t="shared" si="26"/>
        <v>-</v>
      </c>
      <c r="P53" s="35" t="str">
        <f t="shared" si="7"/>
        <v>-</v>
      </c>
      <c r="Q53" s="36" t="str">
        <f t="shared" si="8"/>
        <v>-</v>
      </c>
      <c r="R53" s="34" t="str">
        <f t="shared" si="9"/>
        <v>-</v>
      </c>
      <c r="S53" s="35" t="str">
        <f t="shared" si="27"/>
        <v>-</v>
      </c>
      <c r="T53" s="35" t="str">
        <f t="shared" si="10"/>
        <v>-</v>
      </c>
      <c r="U53" s="36" t="str">
        <f t="shared" si="11"/>
        <v>-</v>
      </c>
      <c r="V53" s="34" t="str">
        <f t="shared" si="12"/>
        <v>-</v>
      </c>
      <c r="W53" s="35" t="str">
        <f t="shared" si="28"/>
        <v>-</v>
      </c>
      <c r="X53" s="35" t="str">
        <f t="shared" si="13"/>
        <v>-</v>
      </c>
      <c r="Y53" s="36" t="str">
        <f t="shared" si="14"/>
        <v>-</v>
      </c>
      <c r="Z53" s="34" t="str">
        <f t="shared" si="15"/>
        <v>-</v>
      </c>
      <c r="AA53" s="35" t="str">
        <f t="shared" si="29"/>
        <v>-</v>
      </c>
      <c r="AB53" s="35" t="str">
        <f t="shared" si="16"/>
        <v>-</v>
      </c>
      <c r="AC53" s="36" t="str">
        <f t="shared" si="17"/>
        <v>-</v>
      </c>
      <c r="AD53" s="34" t="str">
        <f t="shared" si="18"/>
        <v>-</v>
      </c>
      <c r="AE53" s="35" t="str">
        <f t="shared" si="30"/>
        <v>-</v>
      </c>
      <c r="AF53" s="35" t="str">
        <f t="shared" si="19"/>
        <v>-</v>
      </c>
      <c r="AG53" s="36" t="str">
        <f t="shared" si="20"/>
        <v>-</v>
      </c>
      <c r="AH53" s="34" t="str">
        <f t="shared" si="21"/>
        <v>-</v>
      </c>
      <c r="AI53" s="35" t="str">
        <f t="shared" si="31"/>
        <v>-</v>
      </c>
      <c r="AJ53" s="35" t="str">
        <f t="shared" si="22"/>
        <v>-</v>
      </c>
      <c r="AK53" s="36" t="str">
        <f t="shared" si="23"/>
        <v>-</v>
      </c>
      <c r="AL53" s="34" t="str">
        <f t="shared" si="32"/>
        <v>-</v>
      </c>
      <c r="AM53" s="35" t="str">
        <f t="shared" si="33"/>
        <v>-</v>
      </c>
      <c r="AN53" s="35" t="str">
        <f t="shared" si="34"/>
        <v>-</v>
      </c>
      <c r="AO53" s="36" t="str">
        <f t="shared" si="35"/>
        <v>-</v>
      </c>
    </row>
    <row r="54" spans="2:41" ht="15" x14ac:dyDescent="0.25">
      <c r="B54" s="425" t="s">
        <v>83</v>
      </c>
      <c r="C54" s="414">
        <v>1.9099999999999966</v>
      </c>
      <c r="D54" s="424" t="s">
        <v>122</v>
      </c>
      <c r="F54" s="34" t="str">
        <f t="shared" si="0"/>
        <v>-</v>
      </c>
      <c r="G54" s="35" t="str">
        <f t="shared" si="24"/>
        <v>-</v>
      </c>
      <c r="H54" s="35" t="str">
        <f t="shared" si="1"/>
        <v>-</v>
      </c>
      <c r="I54" s="36" t="str">
        <f t="shared" si="2"/>
        <v>-</v>
      </c>
      <c r="J54" s="34" t="str">
        <f t="shared" si="3"/>
        <v>-</v>
      </c>
      <c r="K54" s="35" t="str">
        <f t="shared" si="25"/>
        <v>-</v>
      </c>
      <c r="L54" s="35" t="str">
        <f t="shared" si="4"/>
        <v>-</v>
      </c>
      <c r="M54" s="36" t="str">
        <f t="shared" si="5"/>
        <v>-</v>
      </c>
      <c r="N54" s="34" t="str">
        <f t="shared" si="6"/>
        <v>-</v>
      </c>
      <c r="O54" s="35" t="str">
        <f t="shared" si="26"/>
        <v>-</v>
      </c>
      <c r="P54" s="35" t="str">
        <f t="shared" si="7"/>
        <v>-</v>
      </c>
      <c r="Q54" s="36" t="str">
        <f t="shared" si="8"/>
        <v>-</v>
      </c>
      <c r="R54" s="34">
        <f t="shared" si="9"/>
        <v>1</v>
      </c>
      <c r="S54" s="35" t="str">
        <f t="shared" si="27"/>
        <v>-</v>
      </c>
      <c r="T54" s="35" t="str">
        <f t="shared" si="10"/>
        <v>-</v>
      </c>
      <c r="U54" s="36" t="str">
        <f t="shared" si="11"/>
        <v>-</v>
      </c>
      <c r="V54" s="34" t="str">
        <f t="shared" si="12"/>
        <v>-</v>
      </c>
      <c r="W54" s="35" t="str">
        <f t="shared" si="28"/>
        <v>-</v>
      </c>
      <c r="X54" s="35" t="str">
        <f t="shared" si="13"/>
        <v>-</v>
      </c>
      <c r="Y54" s="36" t="str">
        <f t="shared" si="14"/>
        <v>-</v>
      </c>
      <c r="Z54" s="34" t="str">
        <f t="shared" si="15"/>
        <v>-</v>
      </c>
      <c r="AA54" s="35" t="str">
        <f t="shared" si="29"/>
        <v>-</v>
      </c>
      <c r="AB54" s="35" t="str">
        <f t="shared" si="16"/>
        <v>-</v>
      </c>
      <c r="AC54" s="36" t="str">
        <f t="shared" si="17"/>
        <v>-</v>
      </c>
      <c r="AD54" s="34" t="str">
        <f t="shared" si="18"/>
        <v>-</v>
      </c>
      <c r="AE54" s="35" t="str">
        <f t="shared" si="30"/>
        <v>-</v>
      </c>
      <c r="AF54" s="35" t="str">
        <f t="shared" si="19"/>
        <v>-</v>
      </c>
      <c r="AG54" s="36" t="str">
        <f t="shared" si="20"/>
        <v>-</v>
      </c>
      <c r="AH54" s="34" t="str">
        <f t="shared" si="21"/>
        <v>-</v>
      </c>
      <c r="AI54" s="35" t="str">
        <f t="shared" si="31"/>
        <v>-</v>
      </c>
      <c r="AJ54" s="35" t="str">
        <f t="shared" si="22"/>
        <v>-</v>
      </c>
      <c r="AK54" s="36" t="str">
        <f t="shared" si="23"/>
        <v>-</v>
      </c>
      <c r="AL54" s="34" t="str">
        <f t="shared" si="32"/>
        <v>-</v>
      </c>
      <c r="AM54" s="35" t="str">
        <f t="shared" si="33"/>
        <v>-</v>
      </c>
      <c r="AN54" s="35" t="str">
        <f t="shared" si="34"/>
        <v>-</v>
      </c>
      <c r="AO54" s="36" t="str">
        <f t="shared" si="35"/>
        <v>-</v>
      </c>
    </row>
    <row r="55" spans="2:41" ht="15" x14ac:dyDescent="0.25">
      <c r="B55" s="419" t="s">
        <v>84</v>
      </c>
      <c r="C55" s="413">
        <v>1.8200000000000003</v>
      </c>
      <c r="D55" s="420" t="s">
        <v>123</v>
      </c>
      <c r="F55" s="34" t="str">
        <f t="shared" si="0"/>
        <v>-</v>
      </c>
      <c r="G55" s="35" t="str">
        <f t="shared" si="24"/>
        <v>-</v>
      </c>
      <c r="H55" s="35" t="str">
        <f t="shared" si="1"/>
        <v>-</v>
      </c>
      <c r="I55" s="36" t="str">
        <f t="shared" si="2"/>
        <v>-</v>
      </c>
      <c r="J55" s="34" t="str">
        <f t="shared" si="3"/>
        <v>-</v>
      </c>
      <c r="K55" s="35" t="str">
        <f t="shared" si="25"/>
        <v>-</v>
      </c>
      <c r="L55" s="35" t="str">
        <f t="shared" si="4"/>
        <v>-</v>
      </c>
      <c r="M55" s="36" t="str">
        <f t="shared" si="5"/>
        <v>-</v>
      </c>
      <c r="N55" s="34" t="str">
        <f t="shared" si="6"/>
        <v>-</v>
      </c>
      <c r="O55" s="35" t="str">
        <f t="shared" si="26"/>
        <v>-</v>
      </c>
      <c r="P55" s="35" t="str">
        <f t="shared" si="7"/>
        <v>-</v>
      </c>
      <c r="Q55" s="36" t="str">
        <f t="shared" si="8"/>
        <v>-</v>
      </c>
      <c r="R55" s="34" t="str">
        <f t="shared" si="9"/>
        <v>-</v>
      </c>
      <c r="S55" s="35" t="str">
        <f t="shared" si="27"/>
        <v>-</v>
      </c>
      <c r="T55" s="35" t="str">
        <f t="shared" si="10"/>
        <v>-</v>
      </c>
      <c r="U55" s="36">
        <f t="shared" si="11"/>
        <v>1</v>
      </c>
      <c r="V55" s="34" t="str">
        <f t="shared" si="12"/>
        <v>-</v>
      </c>
      <c r="W55" s="35" t="str">
        <f t="shared" si="28"/>
        <v>-</v>
      </c>
      <c r="X55" s="35" t="str">
        <f t="shared" si="13"/>
        <v>-</v>
      </c>
      <c r="Y55" s="36" t="str">
        <f t="shared" si="14"/>
        <v>-</v>
      </c>
      <c r="Z55" s="34" t="str">
        <f t="shared" si="15"/>
        <v>-</v>
      </c>
      <c r="AA55" s="35" t="str">
        <f t="shared" si="29"/>
        <v>-</v>
      </c>
      <c r="AB55" s="35" t="str">
        <f t="shared" si="16"/>
        <v>-</v>
      </c>
      <c r="AC55" s="36" t="str">
        <f t="shared" si="17"/>
        <v>-</v>
      </c>
      <c r="AD55" s="34" t="str">
        <f t="shared" si="18"/>
        <v>-</v>
      </c>
      <c r="AE55" s="35" t="str">
        <f t="shared" si="30"/>
        <v>-</v>
      </c>
      <c r="AF55" s="35" t="str">
        <f t="shared" si="19"/>
        <v>-</v>
      </c>
      <c r="AG55" s="36" t="str">
        <f t="shared" si="20"/>
        <v>-</v>
      </c>
      <c r="AH55" s="34" t="str">
        <f t="shared" si="21"/>
        <v>-</v>
      </c>
      <c r="AI55" s="35" t="str">
        <f t="shared" si="31"/>
        <v>-</v>
      </c>
      <c r="AJ55" s="35" t="str">
        <f t="shared" si="22"/>
        <v>-</v>
      </c>
      <c r="AK55" s="36" t="str">
        <f t="shared" si="23"/>
        <v>-</v>
      </c>
      <c r="AL55" s="34" t="str">
        <f t="shared" si="32"/>
        <v>-</v>
      </c>
      <c r="AM55" s="35" t="str">
        <f t="shared" si="33"/>
        <v>-</v>
      </c>
      <c r="AN55" s="35" t="str">
        <f t="shared" si="34"/>
        <v>-</v>
      </c>
      <c r="AO55" s="36" t="str">
        <f t="shared" si="35"/>
        <v>-</v>
      </c>
    </row>
    <row r="56" spans="2:41" ht="15" x14ac:dyDescent="0.25">
      <c r="B56" s="422" t="s">
        <v>461</v>
      </c>
      <c r="C56" s="412">
        <v>1.72</v>
      </c>
      <c r="D56" s="423" t="s">
        <v>127</v>
      </c>
      <c r="F56" s="34" t="str">
        <f t="shared" si="0"/>
        <v>-</v>
      </c>
      <c r="G56" s="35" t="str">
        <f t="shared" si="24"/>
        <v>-</v>
      </c>
      <c r="H56" s="35" t="str">
        <f t="shared" si="1"/>
        <v>-</v>
      </c>
      <c r="I56" s="36" t="str">
        <f t="shared" si="2"/>
        <v>-</v>
      </c>
      <c r="J56" s="34" t="str">
        <f t="shared" si="3"/>
        <v>-</v>
      </c>
      <c r="K56" s="35" t="str">
        <f t="shared" si="25"/>
        <v>-</v>
      </c>
      <c r="L56" s="35" t="str">
        <f t="shared" si="4"/>
        <v>-</v>
      </c>
      <c r="M56" s="36" t="str">
        <f t="shared" si="5"/>
        <v>-</v>
      </c>
      <c r="N56" s="34" t="str">
        <f t="shared" si="6"/>
        <v>-</v>
      </c>
      <c r="O56" s="35">
        <f t="shared" si="26"/>
        <v>1</v>
      </c>
      <c r="P56" s="35" t="str">
        <f t="shared" si="7"/>
        <v>-</v>
      </c>
      <c r="Q56" s="36" t="str">
        <f t="shared" si="8"/>
        <v>-</v>
      </c>
      <c r="R56" s="34" t="str">
        <f t="shared" si="9"/>
        <v>-</v>
      </c>
      <c r="S56" s="35" t="str">
        <f t="shared" si="27"/>
        <v>-</v>
      </c>
      <c r="T56" s="35" t="str">
        <f t="shared" si="10"/>
        <v>-</v>
      </c>
      <c r="U56" s="36" t="str">
        <f t="shared" si="11"/>
        <v>-</v>
      </c>
      <c r="V56" s="34" t="str">
        <f t="shared" si="12"/>
        <v>-</v>
      </c>
      <c r="W56" s="35" t="str">
        <f t="shared" si="28"/>
        <v>-</v>
      </c>
      <c r="X56" s="35" t="str">
        <f t="shared" si="13"/>
        <v>-</v>
      </c>
      <c r="Y56" s="36" t="str">
        <f t="shared" si="14"/>
        <v>-</v>
      </c>
      <c r="Z56" s="34" t="str">
        <f t="shared" si="15"/>
        <v>-</v>
      </c>
      <c r="AA56" s="35" t="str">
        <f t="shared" si="29"/>
        <v>-</v>
      </c>
      <c r="AB56" s="35" t="str">
        <f t="shared" si="16"/>
        <v>-</v>
      </c>
      <c r="AC56" s="36" t="str">
        <f t="shared" si="17"/>
        <v>-</v>
      </c>
      <c r="AD56" s="34" t="str">
        <f t="shared" si="18"/>
        <v>-</v>
      </c>
      <c r="AE56" s="35" t="str">
        <f t="shared" si="30"/>
        <v>-</v>
      </c>
      <c r="AF56" s="35" t="str">
        <f t="shared" si="19"/>
        <v>-</v>
      </c>
      <c r="AG56" s="36" t="str">
        <f t="shared" si="20"/>
        <v>-</v>
      </c>
      <c r="AH56" s="34" t="str">
        <f t="shared" si="21"/>
        <v>-</v>
      </c>
      <c r="AI56" s="35" t="str">
        <f t="shared" si="31"/>
        <v>-</v>
      </c>
      <c r="AJ56" s="35" t="str">
        <f t="shared" si="22"/>
        <v>-</v>
      </c>
      <c r="AK56" s="36" t="str">
        <f t="shared" si="23"/>
        <v>-</v>
      </c>
      <c r="AL56" s="34" t="str">
        <f t="shared" si="32"/>
        <v>-</v>
      </c>
      <c r="AM56" s="35" t="str">
        <f t="shared" si="33"/>
        <v>-</v>
      </c>
      <c r="AN56" s="35" t="str">
        <f t="shared" si="34"/>
        <v>-</v>
      </c>
      <c r="AO56" s="36" t="str">
        <f t="shared" si="35"/>
        <v>-</v>
      </c>
    </row>
    <row r="57" spans="2:41" ht="15" x14ac:dyDescent="0.25">
      <c r="B57" s="419" t="s">
        <v>421</v>
      </c>
      <c r="C57" s="413">
        <v>1.2000000000000028</v>
      </c>
      <c r="D57" s="420" t="s">
        <v>123</v>
      </c>
      <c r="F57" s="34" t="str">
        <f t="shared" si="0"/>
        <v>-</v>
      </c>
      <c r="G57" s="35" t="str">
        <f t="shared" si="24"/>
        <v>-</v>
      </c>
      <c r="H57" s="35" t="str">
        <f t="shared" si="1"/>
        <v>-</v>
      </c>
      <c r="I57" s="36">
        <f t="shared" si="2"/>
        <v>1</v>
      </c>
      <c r="J57" s="34" t="str">
        <f t="shared" si="3"/>
        <v>-</v>
      </c>
      <c r="K57" s="35" t="str">
        <f t="shared" si="25"/>
        <v>-</v>
      </c>
      <c r="L57" s="35" t="str">
        <f t="shared" si="4"/>
        <v>-</v>
      </c>
      <c r="M57" s="36" t="str">
        <f t="shared" si="5"/>
        <v>-</v>
      </c>
      <c r="N57" s="34" t="str">
        <f t="shared" si="6"/>
        <v>-</v>
      </c>
      <c r="O57" s="35" t="str">
        <f t="shared" si="26"/>
        <v>-</v>
      </c>
      <c r="P57" s="35" t="str">
        <f t="shared" si="7"/>
        <v>-</v>
      </c>
      <c r="Q57" s="36" t="str">
        <f t="shared" si="8"/>
        <v>-</v>
      </c>
      <c r="R57" s="34" t="str">
        <f t="shared" si="9"/>
        <v>-</v>
      </c>
      <c r="S57" s="35" t="str">
        <f t="shared" si="27"/>
        <v>-</v>
      </c>
      <c r="T57" s="35" t="str">
        <f t="shared" si="10"/>
        <v>-</v>
      </c>
      <c r="U57" s="36" t="str">
        <f t="shared" si="11"/>
        <v>-</v>
      </c>
      <c r="V57" s="34" t="str">
        <f t="shared" si="12"/>
        <v>-</v>
      </c>
      <c r="W57" s="35" t="str">
        <f t="shared" si="28"/>
        <v>-</v>
      </c>
      <c r="X57" s="35" t="str">
        <f t="shared" si="13"/>
        <v>-</v>
      </c>
      <c r="Y57" s="36" t="str">
        <f t="shared" si="14"/>
        <v>-</v>
      </c>
      <c r="Z57" s="34" t="str">
        <f t="shared" si="15"/>
        <v>-</v>
      </c>
      <c r="AA57" s="35" t="str">
        <f t="shared" si="29"/>
        <v>-</v>
      </c>
      <c r="AB57" s="35" t="str">
        <f t="shared" si="16"/>
        <v>-</v>
      </c>
      <c r="AC57" s="36" t="str">
        <f t="shared" si="17"/>
        <v>-</v>
      </c>
      <c r="AD57" s="34" t="str">
        <f t="shared" si="18"/>
        <v>-</v>
      </c>
      <c r="AE57" s="35" t="str">
        <f t="shared" si="30"/>
        <v>-</v>
      </c>
      <c r="AF57" s="35" t="str">
        <f t="shared" si="19"/>
        <v>-</v>
      </c>
      <c r="AG57" s="36" t="str">
        <f t="shared" si="20"/>
        <v>-</v>
      </c>
      <c r="AH57" s="34" t="str">
        <f t="shared" si="21"/>
        <v>-</v>
      </c>
      <c r="AI57" s="35" t="str">
        <f t="shared" si="31"/>
        <v>-</v>
      </c>
      <c r="AJ57" s="35" t="str">
        <f t="shared" si="22"/>
        <v>-</v>
      </c>
      <c r="AK57" s="36" t="str">
        <f t="shared" si="23"/>
        <v>-</v>
      </c>
      <c r="AL57" s="34" t="str">
        <f t="shared" si="32"/>
        <v>-</v>
      </c>
      <c r="AM57" s="35" t="str">
        <f t="shared" si="33"/>
        <v>-</v>
      </c>
      <c r="AN57" s="35" t="str">
        <f t="shared" si="34"/>
        <v>-</v>
      </c>
      <c r="AO57" s="36" t="str">
        <f t="shared" si="35"/>
        <v>-</v>
      </c>
    </row>
    <row r="58" spans="2:41" ht="15" x14ac:dyDescent="0.25">
      <c r="B58" s="422" t="s">
        <v>128</v>
      </c>
      <c r="C58" s="412">
        <v>1.2</v>
      </c>
      <c r="D58" s="423" t="s">
        <v>127</v>
      </c>
      <c r="F58" s="34" t="str">
        <f t="shared" si="0"/>
        <v>-</v>
      </c>
      <c r="G58" s="35">
        <f t="shared" si="24"/>
        <v>1</v>
      </c>
      <c r="H58" s="35" t="str">
        <f t="shared" si="1"/>
        <v>-</v>
      </c>
      <c r="I58" s="36" t="str">
        <f t="shared" si="2"/>
        <v>-</v>
      </c>
      <c r="J58" s="34" t="str">
        <f t="shared" si="3"/>
        <v>-</v>
      </c>
      <c r="K58" s="35" t="str">
        <f t="shared" si="25"/>
        <v>-</v>
      </c>
      <c r="L58" s="35" t="str">
        <f t="shared" si="4"/>
        <v>-</v>
      </c>
      <c r="M58" s="36" t="str">
        <f t="shared" si="5"/>
        <v>-</v>
      </c>
      <c r="N58" s="34" t="str">
        <f t="shared" si="6"/>
        <v>-</v>
      </c>
      <c r="O58" s="35" t="str">
        <f t="shared" si="26"/>
        <v>-</v>
      </c>
      <c r="P58" s="35" t="str">
        <f t="shared" si="7"/>
        <v>-</v>
      </c>
      <c r="Q58" s="36" t="str">
        <f t="shared" si="8"/>
        <v>-</v>
      </c>
      <c r="R58" s="34" t="str">
        <f t="shared" si="9"/>
        <v>-</v>
      </c>
      <c r="S58" s="35" t="str">
        <f t="shared" si="27"/>
        <v>-</v>
      </c>
      <c r="T58" s="35" t="str">
        <f t="shared" si="10"/>
        <v>-</v>
      </c>
      <c r="U58" s="36" t="str">
        <f t="shared" si="11"/>
        <v>-</v>
      </c>
      <c r="V58" s="34" t="str">
        <f t="shared" si="12"/>
        <v>-</v>
      </c>
      <c r="W58" s="35" t="str">
        <f t="shared" si="28"/>
        <v>-</v>
      </c>
      <c r="X58" s="35" t="str">
        <f t="shared" si="13"/>
        <v>-</v>
      </c>
      <c r="Y58" s="36" t="str">
        <f t="shared" si="14"/>
        <v>-</v>
      </c>
      <c r="Z58" s="34" t="str">
        <f t="shared" si="15"/>
        <v>-</v>
      </c>
      <c r="AA58" s="35" t="str">
        <f t="shared" si="29"/>
        <v>-</v>
      </c>
      <c r="AB58" s="35" t="str">
        <f t="shared" si="16"/>
        <v>-</v>
      </c>
      <c r="AC58" s="36" t="str">
        <f t="shared" si="17"/>
        <v>-</v>
      </c>
      <c r="AD58" s="34" t="str">
        <f t="shared" si="18"/>
        <v>-</v>
      </c>
      <c r="AE58" s="35" t="str">
        <f t="shared" si="30"/>
        <v>-</v>
      </c>
      <c r="AF58" s="35" t="str">
        <f t="shared" si="19"/>
        <v>-</v>
      </c>
      <c r="AG58" s="36" t="str">
        <f t="shared" si="20"/>
        <v>-</v>
      </c>
      <c r="AH58" s="34" t="str">
        <f t="shared" si="21"/>
        <v>-</v>
      </c>
      <c r="AI58" s="35" t="str">
        <f t="shared" si="31"/>
        <v>-</v>
      </c>
      <c r="AJ58" s="35" t="str">
        <f t="shared" si="22"/>
        <v>-</v>
      </c>
      <c r="AK58" s="36" t="str">
        <f t="shared" si="23"/>
        <v>-</v>
      </c>
      <c r="AL58" s="34" t="str">
        <f t="shared" si="32"/>
        <v>-</v>
      </c>
      <c r="AM58" s="35" t="str">
        <f t="shared" si="33"/>
        <v>-</v>
      </c>
      <c r="AN58" s="35" t="str">
        <f t="shared" si="34"/>
        <v>-</v>
      </c>
      <c r="AO58" s="36" t="str">
        <f t="shared" si="35"/>
        <v>-</v>
      </c>
    </row>
    <row r="59" spans="2:41" ht="15" x14ac:dyDescent="0.25">
      <c r="B59" s="419" t="s">
        <v>85</v>
      </c>
      <c r="C59" s="413">
        <v>2.4500000000000028</v>
      </c>
      <c r="D59" s="420" t="s">
        <v>123</v>
      </c>
      <c r="F59" s="34" t="str">
        <f t="shared" si="0"/>
        <v>-</v>
      </c>
      <c r="G59" s="35" t="str">
        <f t="shared" si="24"/>
        <v>-</v>
      </c>
      <c r="H59" s="35" t="str">
        <f t="shared" si="1"/>
        <v>-</v>
      </c>
      <c r="I59" s="36" t="str">
        <f t="shared" si="2"/>
        <v>-</v>
      </c>
      <c r="J59" s="34" t="str">
        <f t="shared" si="3"/>
        <v>-</v>
      </c>
      <c r="K59" s="35" t="str">
        <f t="shared" si="25"/>
        <v>-</v>
      </c>
      <c r="L59" s="35" t="str">
        <f t="shared" si="4"/>
        <v>-</v>
      </c>
      <c r="M59" s="36" t="str">
        <f t="shared" si="5"/>
        <v>-</v>
      </c>
      <c r="N59" s="34" t="str">
        <f t="shared" si="6"/>
        <v>-</v>
      </c>
      <c r="O59" s="35" t="str">
        <f t="shared" si="26"/>
        <v>-</v>
      </c>
      <c r="P59" s="35" t="str">
        <f t="shared" si="7"/>
        <v>-</v>
      </c>
      <c r="Q59" s="36" t="str">
        <f t="shared" si="8"/>
        <v>-</v>
      </c>
      <c r="R59" s="34" t="str">
        <f t="shared" si="9"/>
        <v>-</v>
      </c>
      <c r="S59" s="35" t="str">
        <f t="shared" si="27"/>
        <v>-</v>
      </c>
      <c r="T59" s="35" t="str">
        <f t="shared" si="10"/>
        <v>-</v>
      </c>
      <c r="U59" s="36" t="str">
        <f t="shared" si="11"/>
        <v>-</v>
      </c>
      <c r="V59" s="34" t="str">
        <f t="shared" si="12"/>
        <v>-</v>
      </c>
      <c r="W59" s="35" t="str">
        <f t="shared" si="28"/>
        <v>-</v>
      </c>
      <c r="X59" s="35" t="str">
        <f t="shared" si="13"/>
        <v>-</v>
      </c>
      <c r="Y59" s="36">
        <f t="shared" si="14"/>
        <v>1</v>
      </c>
      <c r="Z59" s="34" t="str">
        <f t="shared" si="15"/>
        <v>-</v>
      </c>
      <c r="AA59" s="35" t="str">
        <f t="shared" si="29"/>
        <v>-</v>
      </c>
      <c r="AB59" s="35" t="str">
        <f t="shared" si="16"/>
        <v>-</v>
      </c>
      <c r="AC59" s="36" t="str">
        <f t="shared" si="17"/>
        <v>-</v>
      </c>
      <c r="AD59" s="34" t="str">
        <f t="shared" si="18"/>
        <v>-</v>
      </c>
      <c r="AE59" s="35" t="str">
        <f t="shared" si="30"/>
        <v>-</v>
      </c>
      <c r="AF59" s="35" t="str">
        <f t="shared" si="19"/>
        <v>-</v>
      </c>
      <c r="AG59" s="36" t="str">
        <f t="shared" si="20"/>
        <v>-</v>
      </c>
      <c r="AH59" s="34" t="str">
        <f t="shared" si="21"/>
        <v>-</v>
      </c>
      <c r="AI59" s="35" t="str">
        <f t="shared" si="31"/>
        <v>-</v>
      </c>
      <c r="AJ59" s="35" t="str">
        <f t="shared" si="22"/>
        <v>-</v>
      </c>
      <c r="AK59" s="36" t="str">
        <f t="shared" si="23"/>
        <v>-</v>
      </c>
      <c r="AL59" s="34" t="str">
        <f t="shared" si="32"/>
        <v>-</v>
      </c>
      <c r="AM59" s="35" t="str">
        <f t="shared" si="33"/>
        <v>-</v>
      </c>
      <c r="AN59" s="35" t="str">
        <f t="shared" si="34"/>
        <v>-</v>
      </c>
      <c r="AO59" s="36" t="str">
        <f t="shared" si="35"/>
        <v>-</v>
      </c>
    </row>
    <row r="60" spans="2:41" ht="15" x14ac:dyDescent="0.25">
      <c r="B60" s="421" t="s">
        <v>462</v>
      </c>
      <c r="C60" s="412">
        <v>2.3199999999999998</v>
      </c>
      <c r="D60" s="417" t="s">
        <v>126</v>
      </c>
      <c r="F60" s="34" t="str">
        <f t="shared" si="0"/>
        <v>-</v>
      </c>
      <c r="G60" s="35" t="str">
        <f t="shared" si="24"/>
        <v>-</v>
      </c>
      <c r="H60" s="35" t="str">
        <f t="shared" si="1"/>
        <v>-</v>
      </c>
      <c r="I60" s="36" t="str">
        <f t="shared" si="2"/>
        <v>-</v>
      </c>
      <c r="J60" s="34" t="str">
        <f t="shared" si="3"/>
        <v>-</v>
      </c>
      <c r="K60" s="35" t="str">
        <f t="shared" si="25"/>
        <v>-</v>
      </c>
      <c r="L60" s="35" t="str">
        <f t="shared" si="4"/>
        <v>-</v>
      </c>
      <c r="M60" s="36" t="str">
        <f t="shared" si="5"/>
        <v>-</v>
      </c>
      <c r="N60" s="34" t="str">
        <f t="shared" si="6"/>
        <v>-</v>
      </c>
      <c r="O60" s="35" t="str">
        <f t="shared" si="26"/>
        <v>-</v>
      </c>
      <c r="P60" s="35" t="str">
        <f t="shared" si="7"/>
        <v>-</v>
      </c>
      <c r="Q60" s="36" t="str">
        <f t="shared" si="8"/>
        <v>-</v>
      </c>
      <c r="R60" s="34" t="str">
        <f t="shared" si="9"/>
        <v>-</v>
      </c>
      <c r="S60" s="35" t="str">
        <f t="shared" si="27"/>
        <v>-</v>
      </c>
      <c r="T60" s="35" t="str">
        <f t="shared" si="10"/>
        <v>-</v>
      </c>
      <c r="U60" s="36" t="str">
        <f t="shared" si="11"/>
        <v>-</v>
      </c>
      <c r="V60" s="34" t="str">
        <f t="shared" si="12"/>
        <v>-</v>
      </c>
      <c r="W60" s="35" t="str">
        <f t="shared" si="28"/>
        <v>-</v>
      </c>
      <c r="X60" s="35">
        <f t="shared" si="13"/>
        <v>1</v>
      </c>
      <c r="Y60" s="36" t="str">
        <f t="shared" si="14"/>
        <v>-</v>
      </c>
      <c r="Z60" s="34" t="str">
        <f t="shared" si="15"/>
        <v>-</v>
      </c>
      <c r="AA60" s="35" t="str">
        <f t="shared" si="29"/>
        <v>-</v>
      </c>
      <c r="AB60" s="35" t="str">
        <f t="shared" si="16"/>
        <v>-</v>
      </c>
      <c r="AC60" s="36" t="str">
        <f t="shared" si="17"/>
        <v>-</v>
      </c>
      <c r="AD60" s="34" t="str">
        <f t="shared" si="18"/>
        <v>-</v>
      </c>
      <c r="AE60" s="35" t="str">
        <f t="shared" si="30"/>
        <v>-</v>
      </c>
      <c r="AF60" s="35" t="str">
        <f t="shared" si="19"/>
        <v>-</v>
      </c>
      <c r="AG60" s="36" t="str">
        <f t="shared" si="20"/>
        <v>-</v>
      </c>
      <c r="AH60" s="34" t="str">
        <f t="shared" si="21"/>
        <v>-</v>
      </c>
      <c r="AI60" s="35" t="str">
        <f t="shared" si="31"/>
        <v>-</v>
      </c>
      <c r="AJ60" s="35" t="str">
        <f t="shared" si="22"/>
        <v>-</v>
      </c>
      <c r="AK60" s="36" t="str">
        <f t="shared" si="23"/>
        <v>-</v>
      </c>
      <c r="AL60" s="34" t="str">
        <f t="shared" si="32"/>
        <v>-</v>
      </c>
      <c r="AM60" s="35" t="str">
        <f t="shared" si="33"/>
        <v>-</v>
      </c>
      <c r="AN60" s="35" t="str">
        <f t="shared" si="34"/>
        <v>-</v>
      </c>
      <c r="AO60" s="36" t="str">
        <f t="shared" si="35"/>
        <v>-</v>
      </c>
    </row>
    <row r="61" spans="2:41" ht="15" x14ac:dyDescent="0.25">
      <c r="B61" s="419" t="s">
        <v>422</v>
      </c>
      <c r="C61" s="413">
        <v>1.2000000000000028</v>
      </c>
      <c r="D61" s="420" t="s">
        <v>123</v>
      </c>
      <c r="F61" s="34" t="str">
        <f t="shared" si="0"/>
        <v>-</v>
      </c>
      <c r="G61" s="35" t="str">
        <f t="shared" si="24"/>
        <v>-</v>
      </c>
      <c r="H61" s="35" t="str">
        <f t="shared" si="1"/>
        <v>-</v>
      </c>
      <c r="I61" s="36">
        <f t="shared" si="2"/>
        <v>1</v>
      </c>
      <c r="J61" s="34" t="str">
        <f t="shared" si="3"/>
        <v>-</v>
      </c>
      <c r="K61" s="35" t="str">
        <f t="shared" si="25"/>
        <v>-</v>
      </c>
      <c r="L61" s="35" t="str">
        <f t="shared" si="4"/>
        <v>-</v>
      </c>
      <c r="M61" s="36" t="str">
        <f t="shared" si="5"/>
        <v>-</v>
      </c>
      <c r="N61" s="34" t="str">
        <f t="shared" si="6"/>
        <v>-</v>
      </c>
      <c r="O61" s="35" t="str">
        <f t="shared" si="26"/>
        <v>-</v>
      </c>
      <c r="P61" s="35" t="str">
        <f t="shared" si="7"/>
        <v>-</v>
      </c>
      <c r="Q61" s="36" t="str">
        <f t="shared" si="8"/>
        <v>-</v>
      </c>
      <c r="R61" s="34" t="str">
        <f t="shared" si="9"/>
        <v>-</v>
      </c>
      <c r="S61" s="35" t="str">
        <f t="shared" si="27"/>
        <v>-</v>
      </c>
      <c r="T61" s="35" t="str">
        <f t="shared" si="10"/>
        <v>-</v>
      </c>
      <c r="U61" s="36" t="str">
        <f t="shared" si="11"/>
        <v>-</v>
      </c>
      <c r="V61" s="34" t="str">
        <f t="shared" si="12"/>
        <v>-</v>
      </c>
      <c r="W61" s="35" t="str">
        <f t="shared" si="28"/>
        <v>-</v>
      </c>
      <c r="X61" s="35" t="str">
        <f t="shared" si="13"/>
        <v>-</v>
      </c>
      <c r="Y61" s="36" t="str">
        <f t="shared" si="14"/>
        <v>-</v>
      </c>
      <c r="Z61" s="34" t="str">
        <f t="shared" si="15"/>
        <v>-</v>
      </c>
      <c r="AA61" s="35" t="str">
        <f t="shared" si="29"/>
        <v>-</v>
      </c>
      <c r="AB61" s="35" t="str">
        <f t="shared" si="16"/>
        <v>-</v>
      </c>
      <c r="AC61" s="36" t="str">
        <f t="shared" si="17"/>
        <v>-</v>
      </c>
      <c r="AD61" s="34" t="str">
        <f t="shared" si="18"/>
        <v>-</v>
      </c>
      <c r="AE61" s="35" t="str">
        <f t="shared" si="30"/>
        <v>-</v>
      </c>
      <c r="AF61" s="35" t="str">
        <f t="shared" si="19"/>
        <v>-</v>
      </c>
      <c r="AG61" s="36" t="str">
        <f t="shared" si="20"/>
        <v>-</v>
      </c>
      <c r="AH61" s="34" t="str">
        <f t="shared" si="21"/>
        <v>-</v>
      </c>
      <c r="AI61" s="35" t="str">
        <f t="shared" si="31"/>
        <v>-</v>
      </c>
      <c r="AJ61" s="35" t="str">
        <f t="shared" si="22"/>
        <v>-</v>
      </c>
      <c r="AK61" s="36" t="str">
        <f t="shared" si="23"/>
        <v>-</v>
      </c>
      <c r="AL61" s="34" t="str">
        <f t="shared" si="32"/>
        <v>-</v>
      </c>
      <c r="AM61" s="35" t="str">
        <f t="shared" si="33"/>
        <v>-</v>
      </c>
      <c r="AN61" s="35" t="str">
        <f t="shared" si="34"/>
        <v>-</v>
      </c>
      <c r="AO61" s="36" t="str">
        <f t="shared" si="35"/>
        <v>-</v>
      </c>
    </row>
    <row r="62" spans="2:41" ht="15" x14ac:dyDescent="0.25">
      <c r="B62" s="422" t="s">
        <v>422</v>
      </c>
      <c r="C62" s="412">
        <v>1.2</v>
      </c>
      <c r="D62" s="423" t="s">
        <v>127</v>
      </c>
      <c r="F62" s="34" t="str">
        <f t="shared" si="0"/>
        <v>-</v>
      </c>
      <c r="G62" s="35">
        <f t="shared" si="24"/>
        <v>1</v>
      </c>
      <c r="H62" s="35" t="str">
        <f t="shared" si="1"/>
        <v>-</v>
      </c>
      <c r="I62" s="36" t="str">
        <f t="shared" si="2"/>
        <v>-</v>
      </c>
      <c r="J62" s="34" t="str">
        <f t="shared" si="3"/>
        <v>-</v>
      </c>
      <c r="K62" s="35" t="str">
        <f t="shared" si="25"/>
        <v>-</v>
      </c>
      <c r="L62" s="35" t="str">
        <f t="shared" si="4"/>
        <v>-</v>
      </c>
      <c r="M62" s="36" t="str">
        <f t="shared" si="5"/>
        <v>-</v>
      </c>
      <c r="N62" s="34" t="str">
        <f t="shared" si="6"/>
        <v>-</v>
      </c>
      <c r="O62" s="35" t="str">
        <f t="shared" si="26"/>
        <v>-</v>
      </c>
      <c r="P62" s="35" t="str">
        <f t="shared" si="7"/>
        <v>-</v>
      </c>
      <c r="Q62" s="36" t="str">
        <f t="shared" si="8"/>
        <v>-</v>
      </c>
      <c r="R62" s="34" t="str">
        <f t="shared" si="9"/>
        <v>-</v>
      </c>
      <c r="S62" s="35" t="str">
        <f t="shared" si="27"/>
        <v>-</v>
      </c>
      <c r="T62" s="35" t="str">
        <f t="shared" si="10"/>
        <v>-</v>
      </c>
      <c r="U62" s="36" t="str">
        <f t="shared" si="11"/>
        <v>-</v>
      </c>
      <c r="V62" s="34" t="str">
        <f t="shared" si="12"/>
        <v>-</v>
      </c>
      <c r="W62" s="35" t="str">
        <f t="shared" si="28"/>
        <v>-</v>
      </c>
      <c r="X62" s="35" t="str">
        <f t="shared" si="13"/>
        <v>-</v>
      </c>
      <c r="Y62" s="36" t="str">
        <f t="shared" si="14"/>
        <v>-</v>
      </c>
      <c r="Z62" s="34" t="str">
        <f t="shared" si="15"/>
        <v>-</v>
      </c>
      <c r="AA62" s="35" t="str">
        <f t="shared" si="29"/>
        <v>-</v>
      </c>
      <c r="AB62" s="35" t="str">
        <f t="shared" si="16"/>
        <v>-</v>
      </c>
      <c r="AC62" s="36" t="str">
        <f t="shared" si="17"/>
        <v>-</v>
      </c>
      <c r="AD62" s="34" t="str">
        <f t="shared" si="18"/>
        <v>-</v>
      </c>
      <c r="AE62" s="35" t="str">
        <f t="shared" si="30"/>
        <v>-</v>
      </c>
      <c r="AF62" s="35" t="str">
        <f t="shared" si="19"/>
        <v>-</v>
      </c>
      <c r="AG62" s="36" t="str">
        <f t="shared" si="20"/>
        <v>-</v>
      </c>
      <c r="AH62" s="34" t="str">
        <f t="shared" si="21"/>
        <v>-</v>
      </c>
      <c r="AI62" s="35" t="str">
        <f t="shared" si="31"/>
        <v>-</v>
      </c>
      <c r="AJ62" s="35" t="str">
        <f t="shared" si="22"/>
        <v>-</v>
      </c>
      <c r="AK62" s="36" t="str">
        <f t="shared" si="23"/>
        <v>-</v>
      </c>
      <c r="AL62" s="34" t="str">
        <f t="shared" si="32"/>
        <v>-</v>
      </c>
      <c r="AM62" s="35" t="str">
        <f t="shared" si="33"/>
        <v>-</v>
      </c>
      <c r="AN62" s="35" t="str">
        <f t="shared" si="34"/>
        <v>-</v>
      </c>
      <c r="AO62" s="36" t="str">
        <f t="shared" si="35"/>
        <v>-</v>
      </c>
    </row>
    <row r="63" spans="2:41" ht="15" x14ac:dyDescent="0.25">
      <c r="B63" s="425" t="s">
        <v>423</v>
      </c>
      <c r="C63" s="414">
        <v>2.7899999999999991</v>
      </c>
      <c r="D63" s="424" t="s">
        <v>122</v>
      </c>
      <c r="F63" s="34" t="str">
        <f t="shared" si="0"/>
        <v>-</v>
      </c>
      <c r="G63" s="35" t="str">
        <f t="shared" si="24"/>
        <v>-</v>
      </c>
      <c r="H63" s="35" t="str">
        <f t="shared" si="1"/>
        <v>-</v>
      </c>
      <c r="I63" s="36" t="str">
        <f t="shared" si="2"/>
        <v>-</v>
      </c>
      <c r="J63" s="34" t="str">
        <f t="shared" si="3"/>
        <v>-</v>
      </c>
      <c r="K63" s="35" t="str">
        <f t="shared" si="25"/>
        <v>-</v>
      </c>
      <c r="L63" s="35" t="str">
        <f t="shared" si="4"/>
        <v>-</v>
      </c>
      <c r="M63" s="36" t="str">
        <f t="shared" si="5"/>
        <v>-</v>
      </c>
      <c r="N63" s="34" t="str">
        <f t="shared" si="6"/>
        <v>-</v>
      </c>
      <c r="O63" s="35" t="str">
        <f t="shared" si="26"/>
        <v>-</v>
      </c>
      <c r="P63" s="35" t="str">
        <f t="shared" si="7"/>
        <v>-</v>
      </c>
      <c r="Q63" s="36" t="str">
        <f t="shared" si="8"/>
        <v>-</v>
      </c>
      <c r="R63" s="34" t="str">
        <f t="shared" si="9"/>
        <v>-</v>
      </c>
      <c r="S63" s="35" t="str">
        <f t="shared" si="27"/>
        <v>-</v>
      </c>
      <c r="T63" s="35" t="str">
        <f t="shared" si="10"/>
        <v>-</v>
      </c>
      <c r="U63" s="36" t="str">
        <f t="shared" si="11"/>
        <v>-</v>
      </c>
      <c r="V63" s="34" t="str">
        <f t="shared" si="12"/>
        <v>-</v>
      </c>
      <c r="W63" s="35" t="str">
        <f t="shared" si="28"/>
        <v>-</v>
      </c>
      <c r="X63" s="35" t="str">
        <f t="shared" si="13"/>
        <v>-</v>
      </c>
      <c r="Y63" s="36" t="str">
        <f t="shared" si="14"/>
        <v>-</v>
      </c>
      <c r="Z63" s="34">
        <f t="shared" si="15"/>
        <v>1</v>
      </c>
      <c r="AA63" s="35" t="str">
        <f t="shared" si="29"/>
        <v>-</v>
      </c>
      <c r="AB63" s="35" t="str">
        <f t="shared" si="16"/>
        <v>-</v>
      </c>
      <c r="AC63" s="36" t="str">
        <f t="shared" si="17"/>
        <v>-</v>
      </c>
      <c r="AD63" s="34" t="str">
        <f t="shared" si="18"/>
        <v>-</v>
      </c>
      <c r="AE63" s="35" t="str">
        <f t="shared" si="30"/>
        <v>-</v>
      </c>
      <c r="AF63" s="35" t="str">
        <f t="shared" si="19"/>
        <v>-</v>
      </c>
      <c r="AG63" s="36" t="str">
        <f t="shared" si="20"/>
        <v>-</v>
      </c>
      <c r="AH63" s="34" t="str">
        <f t="shared" si="21"/>
        <v>-</v>
      </c>
      <c r="AI63" s="35" t="str">
        <f t="shared" si="31"/>
        <v>-</v>
      </c>
      <c r="AJ63" s="35" t="str">
        <f t="shared" si="22"/>
        <v>-</v>
      </c>
      <c r="AK63" s="36" t="str">
        <f t="shared" si="23"/>
        <v>-</v>
      </c>
      <c r="AL63" s="34" t="str">
        <f t="shared" si="32"/>
        <v>-</v>
      </c>
      <c r="AM63" s="35" t="str">
        <f t="shared" si="33"/>
        <v>-</v>
      </c>
      <c r="AN63" s="35" t="str">
        <f t="shared" si="34"/>
        <v>-</v>
      </c>
      <c r="AO63" s="36" t="str">
        <f t="shared" si="35"/>
        <v>-</v>
      </c>
    </row>
    <row r="64" spans="2:41" ht="15" x14ac:dyDescent="0.25">
      <c r="B64" s="425" t="s">
        <v>86</v>
      </c>
      <c r="C64" s="414">
        <v>2.4100000000000037</v>
      </c>
      <c r="D64" s="424" t="s">
        <v>122</v>
      </c>
      <c r="F64" s="34" t="str">
        <f t="shared" si="0"/>
        <v>-</v>
      </c>
      <c r="G64" s="35" t="str">
        <f t="shared" si="24"/>
        <v>-</v>
      </c>
      <c r="H64" s="35" t="str">
        <f t="shared" si="1"/>
        <v>-</v>
      </c>
      <c r="I64" s="36" t="str">
        <f t="shared" si="2"/>
        <v>-</v>
      </c>
      <c r="J64" s="34" t="str">
        <f t="shared" si="3"/>
        <v>-</v>
      </c>
      <c r="K64" s="35" t="str">
        <f t="shared" si="25"/>
        <v>-</v>
      </c>
      <c r="L64" s="35" t="str">
        <f t="shared" si="4"/>
        <v>-</v>
      </c>
      <c r="M64" s="36" t="str">
        <f t="shared" si="5"/>
        <v>-</v>
      </c>
      <c r="N64" s="34" t="str">
        <f t="shared" si="6"/>
        <v>-</v>
      </c>
      <c r="O64" s="35" t="str">
        <f t="shared" si="26"/>
        <v>-</v>
      </c>
      <c r="P64" s="35" t="str">
        <f t="shared" si="7"/>
        <v>-</v>
      </c>
      <c r="Q64" s="36" t="str">
        <f t="shared" si="8"/>
        <v>-</v>
      </c>
      <c r="R64" s="34" t="str">
        <f t="shared" si="9"/>
        <v>-</v>
      </c>
      <c r="S64" s="35" t="str">
        <f t="shared" si="27"/>
        <v>-</v>
      </c>
      <c r="T64" s="35" t="str">
        <f t="shared" si="10"/>
        <v>-</v>
      </c>
      <c r="U64" s="36" t="str">
        <f t="shared" si="11"/>
        <v>-</v>
      </c>
      <c r="V64" s="34">
        <f t="shared" si="12"/>
        <v>1</v>
      </c>
      <c r="W64" s="35" t="str">
        <f t="shared" si="28"/>
        <v>-</v>
      </c>
      <c r="X64" s="35" t="str">
        <f t="shared" si="13"/>
        <v>-</v>
      </c>
      <c r="Y64" s="36" t="str">
        <f t="shared" si="14"/>
        <v>-</v>
      </c>
      <c r="Z64" s="34" t="str">
        <f t="shared" si="15"/>
        <v>-</v>
      </c>
      <c r="AA64" s="35" t="str">
        <f t="shared" si="29"/>
        <v>-</v>
      </c>
      <c r="AB64" s="35" t="str">
        <f t="shared" si="16"/>
        <v>-</v>
      </c>
      <c r="AC64" s="36" t="str">
        <f t="shared" si="17"/>
        <v>-</v>
      </c>
      <c r="AD64" s="34" t="str">
        <f t="shared" si="18"/>
        <v>-</v>
      </c>
      <c r="AE64" s="35" t="str">
        <f t="shared" si="30"/>
        <v>-</v>
      </c>
      <c r="AF64" s="35" t="str">
        <f t="shared" si="19"/>
        <v>-</v>
      </c>
      <c r="AG64" s="36" t="str">
        <f t="shared" si="20"/>
        <v>-</v>
      </c>
      <c r="AH64" s="34" t="str">
        <f t="shared" si="21"/>
        <v>-</v>
      </c>
      <c r="AI64" s="35" t="str">
        <f t="shared" si="31"/>
        <v>-</v>
      </c>
      <c r="AJ64" s="35" t="str">
        <f t="shared" si="22"/>
        <v>-</v>
      </c>
      <c r="AK64" s="36" t="str">
        <f t="shared" si="23"/>
        <v>-</v>
      </c>
      <c r="AL64" s="34" t="str">
        <f t="shared" si="32"/>
        <v>-</v>
      </c>
      <c r="AM64" s="35" t="str">
        <f t="shared" si="33"/>
        <v>-</v>
      </c>
      <c r="AN64" s="35" t="str">
        <f t="shared" si="34"/>
        <v>-</v>
      </c>
      <c r="AO64" s="36" t="str">
        <f t="shared" si="35"/>
        <v>-</v>
      </c>
    </row>
    <row r="65" spans="2:41" ht="15" x14ac:dyDescent="0.25">
      <c r="B65" s="425" t="s">
        <v>424</v>
      </c>
      <c r="C65" s="414">
        <v>1.9100000000000001</v>
      </c>
      <c r="D65" s="424" t="s">
        <v>122</v>
      </c>
      <c r="F65" s="34" t="str">
        <f t="shared" si="0"/>
        <v>-</v>
      </c>
      <c r="G65" s="35" t="str">
        <f t="shared" si="24"/>
        <v>-</v>
      </c>
      <c r="H65" s="35" t="str">
        <f t="shared" si="1"/>
        <v>-</v>
      </c>
      <c r="I65" s="36" t="str">
        <f t="shared" si="2"/>
        <v>-</v>
      </c>
      <c r="J65" s="34" t="str">
        <f t="shared" si="3"/>
        <v>-</v>
      </c>
      <c r="K65" s="35" t="str">
        <f t="shared" si="25"/>
        <v>-</v>
      </c>
      <c r="L65" s="35" t="str">
        <f t="shared" si="4"/>
        <v>-</v>
      </c>
      <c r="M65" s="36" t="str">
        <f t="shared" si="5"/>
        <v>-</v>
      </c>
      <c r="N65" s="34" t="str">
        <f t="shared" si="6"/>
        <v>-</v>
      </c>
      <c r="O65" s="35" t="str">
        <f t="shared" si="26"/>
        <v>-</v>
      </c>
      <c r="P65" s="35" t="str">
        <f t="shared" si="7"/>
        <v>-</v>
      </c>
      <c r="Q65" s="36" t="str">
        <f t="shared" si="8"/>
        <v>-</v>
      </c>
      <c r="R65" s="34">
        <f t="shared" si="9"/>
        <v>1</v>
      </c>
      <c r="S65" s="35" t="str">
        <f t="shared" si="27"/>
        <v>-</v>
      </c>
      <c r="T65" s="35" t="str">
        <f t="shared" si="10"/>
        <v>-</v>
      </c>
      <c r="U65" s="36" t="str">
        <f t="shared" si="11"/>
        <v>-</v>
      </c>
      <c r="V65" s="34" t="str">
        <f t="shared" si="12"/>
        <v>-</v>
      </c>
      <c r="W65" s="35" t="str">
        <f t="shared" si="28"/>
        <v>-</v>
      </c>
      <c r="X65" s="35" t="str">
        <f t="shared" si="13"/>
        <v>-</v>
      </c>
      <c r="Y65" s="36" t="str">
        <f t="shared" si="14"/>
        <v>-</v>
      </c>
      <c r="Z65" s="34" t="str">
        <f t="shared" si="15"/>
        <v>-</v>
      </c>
      <c r="AA65" s="35" t="str">
        <f t="shared" si="29"/>
        <v>-</v>
      </c>
      <c r="AB65" s="35" t="str">
        <f t="shared" si="16"/>
        <v>-</v>
      </c>
      <c r="AC65" s="36" t="str">
        <f t="shared" si="17"/>
        <v>-</v>
      </c>
      <c r="AD65" s="34" t="str">
        <f t="shared" si="18"/>
        <v>-</v>
      </c>
      <c r="AE65" s="35" t="str">
        <f t="shared" si="30"/>
        <v>-</v>
      </c>
      <c r="AF65" s="35" t="str">
        <f t="shared" si="19"/>
        <v>-</v>
      </c>
      <c r="AG65" s="36" t="str">
        <f t="shared" si="20"/>
        <v>-</v>
      </c>
      <c r="AH65" s="34" t="str">
        <f t="shared" si="21"/>
        <v>-</v>
      </c>
      <c r="AI65" s="35" t="str">
        <f t="shared" si="31"/>
        <v>-</v>
      </c>
      <c r="AJ65" s="35" t="str">
        <f t="shared" si="22"/>
        <v>-</v>
      </c>
      <c r="AK65" s="36" t="str">
        <f t="shared" si="23"/>
        <v>-</v>
      </c>
      <c r="AL65" s="34" t="str">
        <f t="shared" si="32"/>
        <v>-</v>
      </c>
      <c r="AM65" s="35" t="str">
        <f t="shared" si="33"/>
        <v>-</v>
      </c>
      <c r="AN65" s="35" t="str">
        <f t="shared" si="34"/>
        <v>-</v>
      </c>
      <c r="AO65" s="36" t="str">
        <f t="shared" si="35"/>
        <v>-</v>
      </c>
    </row>
    <row r="66" spans="2:41" ht="15" x14ac:dyDescent="0.25">
      <c r="B66" s="425" t="s">
        <v>87</v>
      </c>
      <c r="C66" s="414">
        <v>1.240000000000002</v>
      </c>
      <c r="D66" s="424" t="s">
        <v>122</v>
      </c>
      <c r="F66" s="34">
        <f t="shared" si="0"/>
        <v>1</v>
      </c>
      <c r="G66" s="35" t="str">
        <f t="shared" si="24"/>
        <v>-</v>
      </c>
      <c r="H66" s="35" t="str">
        <f t="shared" si="1"/>
        <v>-</v>
      </c>
      <c r="I66" s="36" t="str">
        <f t="shared" si="2"/>
        <v>-</v>
      </c>
      <c r="J66" s="34" t="str">
        <f t="shared" si="3"/>
        <v>-</v>
      </c>
      <c r="K66" s="35" t="str">
        <f t="shared" si="25"/>
        <v>-</v>
      </c>
      <c r="L66" s="35" t="str">
        <f t="shared" si="4"/>
        <v>-</v>
      </c>
      <c r="M66" s="36" t="str">
        <f t="shared" si="5"/>
        <v>-</v>
      </c>
      <c r="N66" s="34" t="str">
        <f t="shared" si="6"/>
        <v>-</v>
      </c>
      <c r="O66" s="35" t="str">
        <f t="shared" si="26"/>
        <v>-</v>
      </c>
      <c r="P66" s="35" t="str">
        <f t="shared" si="7"/>
        <v>-</v>
      </c>
      <c r="Q66" s="36" t="str">
        <f t="shared" si="8"/>
        <v>-</v>
      </c>
      <c r="R66" s="34" t="str">
        <f t="shared" si="9"/>
        <v>-</v>
      </c>
      <c r="S66" s="35" t="str">
        <f t="shared" si="27"/>
        <v>-</v>
      </c>
      <c r="T66" s="35" t="str">
        <f t="shared" si="10"/>
        <v>-</v>
      </c>
      <c r="U66" s="36" t="str">
        <f t="shared" si="11"/>
        <v>-</v>
      </c>
      <c r="V66" s="34" t="str">
        <f t="shared" si="12"/>
        <v>-</v>
      </c>
      <c r="W66" s="35" t="str">
        <f t="shared" si="28"/>
        <v>-</v>
      </c>
      <c r="X66" s="35" t="str">
        <f t="shared" si="13"/>
        <v>-</v>
      </c>
      <c r="Y66" s="36" t="str">
        <f t="shared" si="14"/>
        <v>-</v>
      </c>
      <c r="Z66" s="34" t="str">
        <f t="shared" si="15"/>
        <v>-</v>
      </c>
      <c r="AA66" s="35" t="str">
        <f t="shared" si="29"/>
        <v>-</v>
      </c>
      <c r="AB66" s="35" t="str">
        <f t="shared" si="16"/>
        <v>-</v>
      </c>
      <c r="AC66" s="36" t="str">
        <f t="shared" si="17"/>
        <v>-</v>
      </c>
      <c r="AD66" s="34" t="str">
        <f t="shared" si="18"/>
        <v>-</v>
      </c>
      <c r="AE66" s="35" t="str">
        <f t="shared" si="30"/>
        <v>-</v>
      </c>
      <c r="AF66" s="35" t="str">
        <f t="shared" si="19"/>
        <v>-</v>
      </c>
      <c r="AG66" s="36" t="str">
        <f t="shared" si="20"/>
        <v>-</v>
      </c>
      <c r="AH66" s="34" t="str">
        <f t="shared" si="21"/>
        <v>-</v>
      </c>
      <c r="AI66" s="35" t="str">
        <f t="shared" si="31"/>
        <v>-</v>
      </c>
      <c r="AJ66" s="35" t="str">
        <f t="shared" si="22"/>
        <v>-</v>
      </c>
      <c r="AK66" s="36" t="str">
        <f t="shared" si="23"/>
        <v>-</v>
      </c>
      <c r="AL66" s="34" t="str">
        <f t="shared" si="32"/>
        <v>-</v>
      </c>
      <c r="AM66" s="35" t="str">
        <f t="shared" si="33"/>
        <v>-</v>
      </c>
      <c r="AN66" s="35" t="str">
        <f t="shared" si="34"/>
        <v>-</v>
      </c>
      <c r="AO66" s="36" t="str">
        <f t="shared" si="35"/>
        <v>-</v>
      </c>
    </row>
    <row r="67" spans="2:41" ht="15" x14ac:dyDescent="0.25">
      <c r="B67" s="425" t="s">
        <v>88</v>
      </c>
      <c r="C67" s="414">
        <v>1.7899999999999991</v>
      </c>
      <c r="D67" s="424" t="s">
        <v>122</v>
      </c>
      <c r="F67" s="34" t="str">
        <f t="shared" ref="F67:F106" si="36">IF(AND($C67&lt;=1.25,$D67="R")=TRUE,1,"-")</f>
        <v>-</v>
      </c>
      <c r="G67" s="35" t="str">
        <f t="shared" si="24"/>
        <v>-</v>
      </c>
      <c r="H67" s="35" t="str">
        <f t="shared" ref="H67:H106" si="37">IF(AND($C67&lt;=1.25,$D67="A")=TRUE,1,"-")</f>
        <v>-</v>
      </c>
      <c r="I67" s="36" t="str">
        <f t="shared" ref="I67:I106" si="38">IF(AND($C67&lt;=1.25,$D67="P")=TRUE,1,"-")</f>
        <v>-</v>
      </c>
      <c r="J67" s="34" t="str">
        <f t="shared" ref="J67:J106" si="39">IF(AND(1.25&lt;$C67,$C67&lt;=1.5,$D67="R")=TRUE,1,"-")</f>
        <v>-</v>
      </c>
      <c r="K67" s="35" t="str">
        <f t="shared" si="25"/>
        <v>-</v>
      </c>
      <c r="L67" s="35" t="str">
        <f t="shared" ref="L67:L106" si="40">IF(AND(1.25&lt;$C67,$C67&lt;=1.5,$D67="A")=TRUE,1,"-")</f>
        <v>-</v>
      </c>
      <c r="M67" s="36" t="str">
        <f t="shared" ref="M67:M106" si="41">IF(AND(1.25&lt;$C67,$C67&lt;=1.5,$D67="P")=TRUE,1,"-")</f>
        <v>-</v>
      </c>
      <c r="N67" s="34" t="str">
        <f t="shared" ref="N67:N106" si="42">IF(AND(1.5&lt;$C67,$C67&lt;=1.75,$D67="R")=TRUE,1,"-")</f>
        <v>-</v>
      </c>
      <c r="O67" s="35" t="str">
        <f t="shared" si="26"/>
        <v>-</v>
      </c>
      <c r="P67" s="35" t="str">
        <f t="shared" ref="P67:P106" si="43">IF(AND(1.5&lt;$C67,$C67&lt;=1.75,$D67="A")=TRUE,1,"-")</f>
        <v>-</v>
      </c>
      <c r="Q67" s="36" t="str">
        <f t="shared" ref="Q67:Q106" si="44">IF(AND(1.5&lt;$C67,$C67&lt;=1.75,$D67="P")=TRUE,1,"-")</f>
        <v>-</v>
      </c>
      <c r="R67" s="34">
        <f t="shared" ref="R67:R106" si="45">IF(AND(1.75&lt;$C67,$C67&lt;=2,$D67="R")=TRUE,1,"-")</f>
        <v>1</v>
      </c>
      <c r="S67" s="35" t="str">
        <f t="shared" si="27"/>
        <v>-</v>
      </c>
      <c r="T67" s="35" t="str">
        <f t="shared" ref="T67:T106" si="46">IF(AND(1.75&lt;$C67,$C67&lt;=2,$D67="A")=TRUE,1,"-")</f>
        <v>-</v>
      </c>
      <c r="U67" s="36" t="str">
        <f t="shared" ref="U67:U106" si="47">IF(AND(1.75&lt;$C67,$C67&lt;=2,$D67="P")=TRUE,1,"-")</f>
        <v>-</v>
      </c>
      <c r="V67" s="34" t="str">
        <f t="shared" ref="V67:V106" si="48">IF(AND(2&lt;$C67,$C67&lt;=2.5,$D67="R")=TRUE,1,"-")</f>
        <v>-</v>
      </c>
      <c r="W67" s="35" t="str">
        <f t="shared" si="28"/>
        <v>-</v>
      </c>
      <c r="X67" s="35" t="str">
        <f t="shared" ref="X67:X106" si="49">IF(AND(2&lt;$C67,$C67&lt;=2.5,$D67="A")=TRUE,1,"-")</f>
        <v>-</v>
      </c>
      <c r="Y67" s="36" t="str">
        <f t="shared" ref="Y67:Y106" si="50">IF(AND(2&lt;$C67,$C67&lt;=2.5,$D67="P")=TRUE,1,"-")</f>
        <v>-</v>
      </c>
      <c r="Z67" s="34" t="str">
        <f t="shared" ref="Z67:Z106" si="51">IF(AND(2.5&lt;$C67,$C67&lt;=3,$D67="R")=TRUE,1,"-")</f>
        <v>-</v>
      </c>
      <c r="AA67" s="35" t="str">
        <f t="shared" si="29"/>
        <v>-</v>
      </c>
      <c r="AB67" s="35" t="str">
        <f t="shared" ref="AB67:AB106" si="52">IF(AND(2.5&lt;$C67,$C67&lt;=3,$D67="A")=TRUE,1,"-")</f>
        <v>-</v>
      </c>
      <c r="AC67" s="36" t="str">
        <f t="shared" ref="AC67:AC106" si="53">IF(AND(2.5&lt;$C67,$C67&lt;=3,$D67="P")=TRUE,1,"-")</f>
        <v>-</v>
      </c>
      <c r="AD67" s="34" t="str">
        <f t="shared" ref="AD67:AD106" si="54">IF(AND(3&lt;$C67,$C67&lt;=3.5,$D67="R")=TRUE,1,"-")</f>
        <v>-</v>
      </c>
      <c r="AE67" s="35" t="str">
        <f t="shared" si="30"/>
        <v>-</v>
      </c>
      <c r="AF67" s="35" t="str">
        <f t="shared" ref="AF67:AF106" si="55">IF(AND(3&lt;$C67,$C67&lt;=3.5,$D67="A")=TRUE,1,"-")</f>
        <v>-</v>
      </c>
      <c r="AG67" s="36" t="str">
        <f t="shared" ref="AG67:AG106" si="56">IF(AND(3&lt;$C67,$C67&lt;=3.5,$D67="P")=TRUE,1,"-")</f>
        <v>-</v>
      </c>
      <c r="AH67" s="34" t="str">
        <f t="shared" ref="AH67:AH106" si="57">IF(AND(3.5&lt;$C67,$C67&lt;=4,$D67="R")=TRUE,1,"-")</f>
        <v>-</v>
      </c>
      <c r="AI67" s="35" t="str">
        <f t="shared" si="31"/>
        <v>-</v>
      </c>
      <c r="AJ67" s="35" t="str">
        <f t="shared" ref="AJ67:AJ106" si="58">IF(AND(3.5&lt;$C67,$C67&lt;=4,$D67="A")=TRUE,1,"-")</f>
        <v>-</v>
      </c>
      <c r="AK67" s="36" t="str">
        <f t="shared" ref="AK67:AK106" si="59">IF(AND(3.5&lt;$C67,$C67&lt;=4,$D67="P")=TRUE,1,"-")</f>
        <v>-</v>
      </c>
      <c r="AL67" s="34" t="str">
        <f t="shared" si="32"/>
        <v>-</v>
      </c>
      <c r="AM67" s="35" t="str">
        <f t="shared" si="33"/>
        <v>-</v>
      </c>
      <c r="AN67" s="35" t="str">
        <f t="shared" si="34"/>
        <v>-</v>
      </c>
      <c r="AO67" s="36" t="str">
        <f t="shared" si="35"/>
        <v>-</v>
      </c>
    </row>
    <row r="68" spans="2:41" ht="15" x14ac:dyDescent="0.25">
      <c r="B68" s="425" t="s">
        <v>425</v>
      </c>
      <c r="C68" s="414">
        <v>2.1999999999999993</v>
      </c>
      <c r="D68" s="424" t="s">
        <v>122</v>
      </c>
      <c r="F68" s="34" t="str">
        <f t="shared" si="36"/>
        <v>-</v>
      </c>
      <c r="G68" s="35" t="str">
        <f t="shared" ref="G68:G106" si="60">IF(AND($C68&lt;=1.25,$D68="S")=TRUE,1,"-")</f>
        <v>-</v>
      </c>
      <c r="H68" s="35" t="str">
        <f t="shared" si="37"/>
        <v>-</v>
      </c>
      <c r="I68" s="36" t="str">
        <f t="shared" si="38"/>
        <v>-</v>
      </c>
      <c r="J68" s="34" t="str">
        <f t="shared" si="39"/>
        <v>-</v>
      </c>
      <c r="K68" s="35" t="str">
        <f t="shared" ref="K68:K106" si="61">IF(AND(1.25&lt;$C68,$C68&lt;=1.5,$D68="S")=TRUE,1,"-")</f>
        <v>-</v>
      </c>
      <c r="L68" s="35" t="str">
        <f t="shared" si="40"/>
        <v>-</v>
      </c>
      <c r="M68" s="36" t="str">
        <f t="shared" si="41"/>
        <v>-</v>
      </c>
      <c r="N68" s="34" t="str">
        <f t="shared" si="42"/>
        <v>-</v>
      </c>
      <c r="O68" s="35" t="str">
        <f t="shared" ref="O68:O106" si="62">IF(AND(1.5&lt;$C68,$C68&lt;=1.75,$D68="S")=TRUE,1,"-")</f>
        <v>-</v>
      </c>
      <c r="P68" s="35" t="str">
        <f t="shared" si="43"/>
        <v>-</v>
      </c>
      <c r="Q68" s="36" t="str">
        <f t="shared" si="44"/>
        <v>-</v>
      </c>
      <c r="R68" s="34" t="str">
        <f t="shared" si="45"/>
        <v>-</v>
      </c>
      <c r="S68" s="35" t="str">
        <f t="shared" ref="S68:S106" si="63">IF(AND(1.75&lt;$C68,$C68&lt;=2,$D68="S")=TRUE,1,"-")</f>
        <v>-</v>
      </c>
      <c r="T68" s="35" t="str">
        <f t="shared" si="46"/>
        <v>-</v>
      </c>
      <c r="U68" s="36" t="str">
        <f t="shared" si="47"/>
        <v>-</v>
      </c>
      <c r="V68" s="34">
        <f t="shared" si="48"/>
        <v>1</v>
      </c>
      <c r="W68" s="35" t="str">
        <f t="shared" ref="W68:W106" si="64">IF(AND(2&lt;$C68,$C68&lt;=2.5,$D68="S")=TRUE,1,"-")</f>
        <v>-</v>
      </c>
      <c r="X68" s="35" t="str">
        <f t="shared" si="49"/>
        <v>-</v>
      </c>
      <c r="Y68" s="36" t="str">
        <f t="shared" si="50"/>
        <v>-</v>
      </c>
      <c r="Z68" s="34" t="str">
        <f t="shared" si="51"/>
        <v>-</v>
      </c>
      <c r="AA68" s="35" t="str">
        <f t="shared" ref="AA68:AA106" si="65">IF(AND(2.5&lt;$C68,$C68&lt;=3,$D68="S")=TRUE,1,"-")</f>
        <v>-</v>
      </c>
      <c r="AB68" s="35" t="str">
        <f t="shared" si="52"/>
        <v>-</v>
      </c>
      <c r="AC68" s="36" t="str">
        <f t="shared" si="53"/>
        <v>-</v>
      </c>
      <c r="AD68" s="34" t="str">
        <f t="shared" si="54"/>
        <v>-</v>
      </c>
      <c r="AE68" s="35" t="str">
        <f t="shared" ref="AE68:AE106" si="66">IF(AND(3&lt;$C68,$C68&lt;=3.5,$D68="S")=TRUE,1,"-")</f>
        <v>-</v>
      </c>
      <c r="AF68" s="35" t="str">
        <f t="shared" si="55"/>
        <v>-</v>
      </c>
      <c r="AG68" s="36" t="str">
        <f t="shared" si="56"/>
        <v>-</v>
      </c>
      <c r="AH68" s="34" t="str">
        <f t="shared" si="57"/>
        <v>-</v>
      </c>
      <c r="AI68" s="35" t="str">
        <f t="shared" ref="AI68:AI106" si="67">IF(AND(3.5&lt;$C68,$C68&lt;=4,$D68="S")=TRUE,1,"-")</f>
        <v>-</v>
      </c>
      <c r="AJ68" s="35" t="str">
        <f t="shared" si="58"/>
        <v>-</v>
      </c>
      <c r="AK68" s="36" t="str">
        <f t="shared" si="59"/>
        <v>-</v>
      </c>
      <c r="AL68" s="34" t="str">
        <f t="shared" ref="AL68:AL106" si="68">IF(AND(4&lt;$C68,$C68&lt;=6,$D68="R")=TRUE,1,"-")</f>
        <v>-</v>
      </c>
      <c r="AM68" s="35" t="str">
        <f t="shared" ref="AM68:AM106" si="69">IF(AND(4&lt;$C68,$C68&lt;=6,$D68="S")=TRUE,1,"-")</f>
        <v>-</v>
      </c>
      <c r="AN68" s="35" t="str">
        <f t="shared" ref="AN68:AN106" si="70">IF(AND(4&lt;$C68,$C68&lt;=6,$D68="A")=TRUE,1,"-")</f>
        <v>-</v>
      </c>
      <c r="AO68" s="36" t="str">
        <f t="shared" ref="AO68:AO106" si="71">IF(AND(4&lt;$C68,$C68&lt;=6,$D68="P")=TRUE,1,"-")</f>
        <v>-</v>
      </c>
    </row>
    <row r="69" spans="2:41" ht="15" x14ac:dyDescent="0.25">
      <c r="B69" s="418" t="s">
        <v>426</v>
      </c>
      <c r="C69" s="411">
        <v>2.1699999999999982</v>
      </c>
      <c r="D69" s="424" t="s">
        <v>122</v>
      </c>
      <c r="F69" s="34" t="str">
        <f t="shared" si="36"/>
        <v>-</v>
      </c>
      <c r="G69" s="35" t="str">
        <f t="shared" si="60"/>
        <v>-</v>
      </c>
      <c r="H69" s="35" t="str">
        <f t="shared" si="37"/>
        <v>-</v>
      </c>
      <c r="I69" s="36" t="str">
        <f t="shared" si="38"/>
        <v>-</v>
      </c>
      <c r="J69" s="34" t="str">
        <f t="shared" si="39"/>
        <v>-</v>
      </c>
      <c r="K69" s="35" t="str">
        <f t="shared" si="61"/>
        <v>-</v>
      </c>
      <c r="L69" s="35" t="str">
        <f t="shared" si="40"/>
        <v>-</v>
      </c>
      <c r="M69" s="36" t="str">
        <f t="shared" si="41"/>
        <v>-</v>
      </c>
      <c r="N69" s="34" t="str">
        <f t="shared" si="42"/>
        <v>-</v>
      </c>
      <c r="O69" s="35" t="str">
        <f t="shared" si="62"/>
        <v>-</v>
      </c>
      <c r="P69" s="35" t="str">
        <f t="shared" si="43"/>
        <v>-</v>
      </c>
      <c r="Q69" s="36" t="str">
        <f t="shared" si="44"/>
        <v>-</v>
      </c>
      <c r="R69" s="34" t="str">
        <f t="shared" si="45"/>
        <v>-</v>
      </c>
      <c r="S69" s="35" t="str">
        <f t="shared" si="63"/>
        <v>-</v>
      </c>
      <c r="T69" s="35" t="str">
        <f t="shared" si="46"/>
        <v>-</v>
      </c>
      <c r="U69" s="36" t="str">
        <f t="shared" si="47"/>
        <v>-</v>
      </c>
      <c r="V69" s="34">
        <f t="shared" si="48"/>
        <v>1</v>
      </c>
      <c r="W69" s="35" t="str">
        <f t="shared" si="64"/>
        <v>-</v>
      </c>
      <c r="X69" s="35" t="str">
        <f t="shared" si="49"/>
        <v>-</v>
      </c>
      <c r="Y69" s="36" t="str">
        <f t="shared" si="50"/>
        <v>-</v>
      </c>
      <c r="Z69" s="34" t="str">
        <f t="shared" si="51"/>
        <v>-</v>
      </c>
      <c r="AA69" s="35" t="str">
        <f t="shared" si="65"/>
        <v>-</v>
      </c>
      <c r="AB69" s="35" t="str">
        <f t="shared" si="52"/>
        <v>-</v>
      </c>
      <c r="AC69" s="36" t="str">
        <f t="shared" si="53"/>
        <v>-</v>
      </c>
      <c r="AD69" s="34" t="str">
        <f t="shared" si="54"/>
        <v>-</v>
      </c>
      <c r="AE69" s="35" t="str">
        <f t="shared" si="66"/>
        <v>-</v>
      </c>
      <c r="AF69" s="35" t="str">
        <f t="shared" si="55"/>
        <v>-</v>
      </c>
      <c r="AG69" s="36" t="str">
        <f t="shared" si="56"/>
        <v>-</v>
      </c>
      <c r="AH69" s="34" t="str">
        <f t="shared" si="57"/>
        <v>-</v>
      </c>
      <c r="AI69" s="35" t="str">
        <f t="shared" si="67"/>
        <v>-</v>
      </c>
      <c r="AJ69" s="35" t="str">
        <f t="shared" si="58"/>
        <v>-</v>
      </c>
      <c r="AK69" s="36" t="str">
        <f t="shared" si="59"/>
        <v>-</v>
      </c>
      <c r="AL69" s="34" t="str">
        <f t="shared" si="68"/>
        <v>-</v>
      </c>
      <c r="AM69" s="35" t="str">
        <f t="shared" si="69"/>
        <v>-</v>
      </c>
      <c r="AN69" s="35" t="str">
        <f t="shared" si="70"/>
        <v>-</v>
      </c>
      <c r="AO69" s="36" t="str">
        <f t="shared" si="71"/>
        <v>-</v>
      </c>
    </row>
    <row r="70" spans="2:41" ht="15" x14ac:dyDescent="0.25">
      <c r="B70" s="426" t="s">
        <v>427</v>
      </c>
      <c r="C70" s="411">
        <v>1.9600000000000044</v>
      </c>
      <c r="D70" s="424" t="s">
        <v>122</v>
      </c>
      <c r="F70" s="34" t="str">
        <f t="shared" si="36"/>
        <v>-</v>
      </c>
      <c r="G70" s="35" t="str">
        <f t="shared" si="60"/>
        <v>-</v>
      </c>
      <c r="H70" s="35" t="str">
        <f t="shared" si="37"/>
        <v>-</v>
      </c>
      <c r="I70" s="36" t="str">
        <f t="shared" si="38"/>
        <v>-</v>
      </c>
      <c r="J70" s="34" t="str">
        <f t="shared" si="39"/>
        <v>-</v>
      </c>
      <c r="K70" s="35" t="str">
        <f t="shared" si="61"/>
        <v>-</v>
      </c>
      <c r="L70" s="35" t="str">
        <f t="shared" si="40"/>
        <v>-</v>
      </c>
      <c r="M70" s="36" t="str">
        <f t="shared" si="41"/>
        <v>-</v>
      </c>
      <c r="N70" s="34" t="str">
        <f t="shared" si="42"/>
        <v>-</v>
      </c>
      <c r="O70" s="35" t="str">
        <f t="shared" si="62"/>
        <v>-</v>
      </c>
      <c r="P70" s="35" t="str">
        <f t="shared" si="43"/>
        <v>-</v>
      </c>
      <c r="Q70" s="36" t="str">
        <f t="shared" si="44"/>
        <v>-</v>
      </c>
      <c r="R70" s="34">
        <f t="shared" si="45"/>
        <v>1</v>
      </c>
      <c r="S70" s="35" t="str">
        <f t="shared" si="63"/>
        <v>-</v>
      </c>
      <c r="T70" s="35" t="str">
        <f t="shared" si="46"/>
        <v>-</v>
      </c>
      <c r="U70" s="36" t="str">
        <f t="shared" si="47"/>
        <v>-</v>
      </c>
      <c r="V70" s="34" t="str">
        <f t="shared" si="48"/>
        <v>-</v>
      </c>
      <c r="W70" s="35" t="str">
        <f t="shared" si="64"/>
        <v>-</v>
      </c>
      <c r="X70" s="35" t="str">
        <f t="shared" si="49"/>
        <v>-</v>
      </c>
      <c r="Y70" s="36" t="str">
        <f t="shared" si="50"/>
        <v>-</v>
      </c>
      <c r="Z70" s="34" t="str">
        <f t="shared" si="51"/>
        <v>-</v>
      </c>
      <c r="AA70" s="35" t="str">
        <f t="shared" si="65"/>
        <v>-</v>
      </c>
      <c r="AB70" s="35" t="str">
        <f t="shared" si="52"/>
        <v>-</v>
      </c>
      <c r="AC70" s="36" t="str">
        <f t="shared" si="53"/>
        <v>-</v>
      </c>
      <c r="AD70" s="34" t="str">
        <f t="shared" si="54"/>
        <v>-</v>
      </c>
      <c r="AE70" s="35" t="str">
        <f t="shared" si="66"/>
        <v>-</v>
      </c>
      <c r="AF70" s="35" t="str">
        <f t="shared" si="55"/>
        <v>-</v>
      </c>
      <c r="AG70" s="36" t="str">
        <f t="shared" si="56"/>
        <v>-</v>
      </c>
      <c r="AH70" s="34" t="str">
        <f t="shared" si="57"/>
        <v>-</v>
      </c>
      <c r="AI70" s="35" t="str">
        <f t="shared" si="67"/>
        <v>-</v>
      </c>
      <c r="AJ70" s="35" t="str">
        <f t="shared" si="58"/>
        <v>-</v>
      </c>
      <c r="AK70" s="36" t="str">
        <f t="shared" si="59"/>
        <v>-</v>
      </c>
      <c r="AL70" s="34" t="str">
        <f t="shared" si="68"/>
        <v>-</v>
      </c>
      <c r="AM70" s="35" t="str">
        <f t="shared" si="69"/>
        <v>-</v>
      </c>
      <c r="AN70" s="35" t="str">
        <f t="shared" si="70"/>
        <v>-</v>
      </c>
      <c r="AO70" s="36" t="str">
        <f t="shared" si="71"/>
        <v>-</v>
      </c>
    </row>
    <row r="71" spans="2:41" ht="15" x14ac:dyDescent="0.25">
      <c r="B71" s="415" t="s">
        <v>428</v>
      </c>
      <c r="C71" s="411">
        <v>1.1999999999999957</v>
      </c>
      <c r="D71" s="424" t="s">
        <v>122</v>
      </c>
      <c r="F71" s="34">
        <f t="shared" si="36"/>
        <v>1</v>
      </c>
      <c r="G71" s="35" t="str">
        <f t="shared" si="60"/>
        <v>-</v>
      </c>
      <c r="H71" s="35" t="str">
        <f t="shared" si="37"/>
        <v>-</v>
      </c>
      <c r="I71" s="36" t="str">
        <f t="shared" si="38"/>
        <v>-</v>
      </c>
      <c r="J71" s="34" t="str">
        <f t="shared" si="39"/>
        <v>-</v>
      </c>
      <c r="K71" s="35" t="str">
        <f t="shared" si="61"/>
        <v>-</v>
      </c>
      <c r="L71" s="35" t="str">
        <f t="shared" si="40"/>
        <v>-</v>
      </c>
      <c r="M71" s="36" t="str">
        <f t="shared" si="41"/>
        <v>-</v>
      </c>
      <c r="N71" s="34" t="str">
        <f t="shared" si="42"/>
        <v>-</v>
      </c>
      <c r="O71" s="35" t="str">
        <f t="shared" si="62"/>
        <v>-</v>
      </c>
      <c r="P71" s="35" t="str">
        <f t="shared" si="43"/>
        <v>-</v>
      </c>
      <c r="Q71" s="36" t="str">
        <f t="shared" si="44"/>
        <v>-</v>
      </c>
      <c r="R71" s="34" t="str">
        <f t="shared" si="45"/>
        <v>-</v>
      </c>
      <c r="S71" s="35" t="str">
        <f t="shared" si="63"/>
        <v>-</v>
      </c>
      <c r="T71" s="35" t="str">
        <f t="shared" si="46"/>
        <v>-</v>
      </c>
      <c r="U71" s="36" t="str">
        <f t="shared" si="47"/>
        <v>-</v>
      </c>
      <c r="V71" s="34" t="str">
        <f t="shared" si="48"/>
        <v>-</v>
      </c>
      <c r="W71" s="35" t="str">
        <f t="shared" si="64"/>
        <v>-</v>
      </c>
      <c r="X71" s="35" t="str">
        <f t="shared" si="49"/>
        <v>-</v>
      </c>
      <c r="Y71" s="36" t="str">
        <f t="shared" si="50"/>
        <v>-</v>
      </c>
      <c r="Z71" s="34" t="str">
        <f t="shared" si="51"/>
        <v>-</v>
      </c>
      <c r="AA71" s="35" t="str">
        <f t="shared" si="65"/>
        <v>-</v>
      </c>
      <c r="AB71" s="35" t="str">
        <f t="shared" si="52"/>
        <v>-</v>
      </c>
      <c r="AC71" s="36" t="str">
        <f t="shared" si="53"/>
        <v>-</v>
      </c>
      <c r="AD71" s="34" t="str">
        <f t="shared" si="54"/>
        <v>-</v>
      </c>
      <c r="AE71" s="35" t="str">
        <f t="shared" si="66"/>
        <v>-</v>
      </c>
      <c r="AF71" s="35" t="str">
        <f t="shared" si="55"/>
        <v>-</v>
      </c>
      <c r="AG71" s="36" t="str">
        <f t="shared" si="56"/>
        <v>-</v>
      </c>
      <c r="AH71" s="34" t="str">
        <f t="shared" si="57"/>
        <v>-</v>
      </c>
      <c r="AI71" s="35" t="str">
        <f t="shared" si="67"/>
        <v>-</v>
      </c>
      <c r="AJ71" s="35" t="str">
        <f t="shared" si="58"/>
        <v>-</v>
      </c>
      <c r="AK71" s="36" t="str">
        <f t="shared" si="59"/>
        <v>-</v>
      </c>
      <c r="AL71" s="34" t="str">
        <f t="shared" si="68"/>
        <v>-</v>
      </c>
      <c r="AM71" s="35" t="str">
        <f t="shared" si="69"/>
        <v>-</v>
      </c>
      <c r="AN71" s="35" t="str">
        <f t="shared" si="70"/>
        <v>-</v>
      </c>
      <c r="AO71" s="36" t="str">
        <f t="shared" si="71"/>
        <v>-</v>
      </c>
    </row>
    <row r="72" spans="2:41" ht="15" x14ac:dyDescent="0.25">
      <c r="B72" s="427" t="s">
        <v>429</v>
      </c>
      <c r="C72" s="412">
        <v>1.24</v>
      </c>
      <c r="D72" s="423" t="s">
        <v>127</v>
      </c>
      <c r="F72" s="34" t="str">
        <f t="shared" si="36"/>
        <v>-</v>
      </c>
      <c r="G72" s="35">
        <f t="shared" si="60"/>
        <v>1</v>
      </c>
      <c r="H72" s="35" t="str">
        <f t="shared" si="37"/>
        <v>-</v>
      </c>
      <c r="I72" s="36" t="str">
        <f t="shared" si="38"/>
        <v>-</v>
      </c>
      <c r="J72" s="34" t="str">
        <f t="shared" si="39"/>
        <v>-</v>
      </c>
      <c r="K72" s="35" t="str">
        <f t="shared" si="61"/>
        <v>-</v>
      </c>
      <c r="L72" s="35" t="str">
        <f t="shared" si="40"/>
        <v>-</v>
      </c>
      <c r="M72" s="36" t="str">
        <f t="shared" si="41"/>
        <v>-</v>
      </c>
      <c r="N72" s="34" t="str">
        <f t="shared" si="42"/>
        <v>-</v>
      </c>
      <c r="O72" s="35" t="str">
        <f t="shared" si="62"/>
        <v>-</v>
      </c>
      <c r="P72" s="35" t="str">
        <f t="shared" si="43"/>
        <v>-</v>
      </c>
      <c r="Q72" s="36" t="str">
        <f t="shared" si="44"/>
        <v>-</v>
      </c>
      <c r="R72" s="34" t="str">
        <f t="shared" si="45"/>
        <v>-</v>
      </c>
      <c r="S72" s="35" t="str">
        <f t="shared" si="63"/>
        <v>-</v>
      </c>
      <c r="T72" s="35" t="str">
        <f t="shared" si="46"/>
        <v>-</v>
      </c>
      <c r="U72" s="36" t="str">
        <f t="shared" si="47"/>
        <v>-</v>
      </c>
      <c r="V72" s="34" t="str">
        <f t="shared" si="48"/>
        <v>-</v>
      </c>
      <c r="W72" s="35" t="str">
        <f t="shared" si="64"/>
        <v>-</v>
      </c>
      <c r="X72" s="35" t="str">
        <f t="shared" si="49"/>
        <v>-</v>
      </c>
      <c r="Y72" s="36" t="str">
        <f t="shared" si="50"/>
        <v>-</v>
      </c>
      <c r="Z72" s="34" t="str">
        <f t="shared" si="51"/>
        <v>-</v>
      </c>
      <c r="AA72" s="35" t="str">
        <f t="shared" si="65"/>
        <v>-</v>
      </c>
      <c r="AB72" s="35" t="str">
        <f t="shared" si="52"/>
        <v>-</v>
      </c>
      <c r="AC72" s="36" t="str">
        <f t="shared" si="53"/>
        <v>-</v>
      </c>
      <c r="AD72" s="34" t="str">
        <f t="shared" si="54"/>
        <v>-</v>
      </c>
      <c r="AE72" s="35" t="str">
        <f t="shared" si="66"/>
        <v>-</v>
      </c>
      <c r="AF72" s="35" t="str">
        <f t="shared" si="55"/>
        <v>-</v>
      </c>
      <c r="AG72" s="36" t="str">
        <f t="shared" si="56"/>
        <v>-</v>
      </c>
      <c r="AH72" s="34" t="str">
        <f t="shared" si="57"/>
        <v>-</v>
      </c>
      <c r="AI72" s="35" t="str">
        <f t="shared" si="67"/>
        <v>-</v>
      </c>
      <c r="AJ72" s="35" t="str">
        <f t="shared" si="58"/>
        <v>-</v>
      </c>
      <c r="AK72" s="36" t="str">
        <f t="shared" si="59"/>
        <v>-</v>
      </c>
      <c r="AL72" s="34" t="str">
        <f t="shared" si="68"/>
        <v>-</v>
      </c>
      <c r="AM72" s="35" t="str">
        <f t="shared" si="69"/>
        <v>-</v>
      </c>
      <c r="AN72" s="35" t="str">
        <f t="shared" si="70"/>
        <v>-</v>
      </c>
      <c r="AO72" s="36" t="str">
        <f t="shared" si="71"/>
        <v>-</v>
      </c>
    </row>
    <row r="73" spans="2:41" ht="15" x14ac:dyDescent="0.25">
      <c r="B73" s="428" t="s">
        <v>89</v>
      </c>
      <c r="C73" s="414">
        <v>2.0600000000000023</v>
      </c>
      <c r="D73" s="424" t="s">
        <v>122</v>
      </c>
      <c r="F73" s="34" t="str">
        <f t="shared" si="36"/>
        <v>-</v>
      </c>
      <c r="G73" s="35" t="str">
        <f t="shared" si="60"/>
        <v>-</v>
      </c>
      <c r="H73" s="35" t="str">
        <f t="shared" si="37"/>
        <v>-</v>
      </c>
      <c r="I73" s="36" t="str">
        <f t="shared" si="38"/>
        <v>-</v>
      </c>
      <c r="J73" s="34" t="str">
        <f t="shared" si="39"/>
        <v>-</v>
      </c>
      <c r="K73" s="35" t="str">
        <f t="shared" si="61"/>
        <v>-</v>
      </c>
      <c r="L73" s="35" t="str">
        <f t="shared" si="40"/>
        <v>-</v>
      </c>
      <c r="M73" s="36" t="str">
        <f t="shared" si="41"/>
        <v>-</v>
      </c>
      <c r="N73" s="34" t="str">
        <f t="shared" si="42"/>
        <v>-</v>
      </c>
      <c r="O73" s="35" t="str">
        <f t="shared" si="62"/>
        <v>-</v>
      </c>
      <c r="P73" s="35" t="str">
        <f t="shared" si="43"/>
        <v>-</v>
      </c>
      <c r="Q73" s="36" t="str">
        <f t="shared" si="44"/>
        <v>-</v>
      </c>
      <c r="R73" s="34" t="str">
        <f t="shared" si="45"/>
        <v>-</v>
      </c>
      <c r="S73" s="35" t="str">
        <f t="shared" si="63"/>
        <v>-</v>
      </c>
      <c r="T73" s="35" t="str">
        <f t="shared" si="46"/>
        <v>-</v>
      </c>
      <c r="U73" s="36" t="str">
        <f t="shared" si="47"/>
        <v>-</v>
      </c>
      <c r="V73" s="34">
        <f t="shared" si="48"/>
        <v>1</v>
      </c>
      <c r="W73" s="35" t="str">
        <f t="shared" si="64"/>
        <v>-</v>
      </c>
      <c r="X73" s="35" t="str">
        <f t="shared" si="49"/>
        <v>-</v>
      </c>
      <c r="Y73" s="36" t="str">
        <f t="shared" si="50"/>
        <v>-</v>
      </c>
      <c r="Z73" s="34" t="str">
        <f t="shared" si="51"/>
        <v>-</v>
      </c>
      <c r="AA73" s="35" t="str">
        <f t="shared" si="65"/>
        <v>-</v>
      </c>
      <c r="AB73" s="35" t="str">
        <f t="shared" si="52"/>
        <v>-</v>
      </c>
      <c r="AC73" s="36" t="str">
        <f t="shared" si="53"/>
        <v>-</v>
      </c>
      <c r="AD73" s="34" t="str">
        <f t="shared" si="54"/>
        <v>-</v>
      </c>
      <c r="AE73" s="35" t="str">
        <f t="shared" si="66"/>
        <v>-</v>
      </c>
      <c r="AF73" s="35" t="str">
        <f t="shared" si="55"/>
        <v>-</v>
      </c>
      <c r="AG73" s="36" t="str">
        <f t="shared" si="56"/>
        <v>-</v>
      </c>
      <c r="AH73" s="34" t="str">
        <f t="shared" si="57"/>
        <v>-</v>
      </c>
      <c r="AI73" s="35" t="str">
        <f t="shared" si="67"/>
        <v>-</v>
      </c>
      <c r="AJ73" s="35" t="str">
        <f t="shared" si="58"/>
        <v>-</v>
      </c>
      <c r="AK73" s="36" t="str">
        <f t="shared" si="59"/>
        <v>-</v>
      </c>
      <c r="AL73" s="34" t="str">
        <f t="shared" si="68"/>
        <v>-</v>
      </c>
      <c r="AM73" s="35" t="str">
        <f t="shared" si="69"/>
        <v>-</v>
      </c>
      <c r="AN73" s="35" t="str">
        <f t="shared" si="70"/>
        <v>-</v>
      </c>
      <c r="AO73" s="36" t="str">
        <f t="shared" si="71"/>
        <v>-</v>
      </c>
    </row>
    <row r="74" spans="2:41" ht="15" x14ac:dyDescent="0.25">
      <c r="B74" s="428" t="s">
        <v>90</v>
      </c>
      <c r="C74" s="414">
        <v>2.0799999999999983</v>
      </c>
      <c r="D74" s="424" t="s">
        <v>122</v>
      </c>
      <c r="F74" s="34" t="str">
        <f t="shared" si="36"/>
        <v>-</v>
      </c>
      <c r="G74" s="35" t="str">
        <f t="shared" si="60"/>
        <v>-</v>
      </c>
      <c r="H74" s="35" t="str">
        <f t="shared" si="37"/>
        <v>-</v>
      </c>
      <c r="I74" s="36" t="str">
        <f t="shared" si="38"/>
        <v>-</v>
      </c>
      <c r="J74" s="34" t="str">
        <f t="shared" si="39"/>
        <v>-</v>
      </c>
      <c r="K74" s="35" t="str">
        <f t="shared" si="61"/>
        <v>-</v>
      </c>
      <c r="L74" s="35" t="str">
        <f t="shared" si="40"/>
        <v>-</v>
      </c>
      <c r="M74" s="36" t="str">
        <f t="shared" si="41"/>
        <v>-</v>
      </c>
      <c r="N74" s="34" t="str">
        <f t="shared" si="42"/>
        <v>-</v>
      </c>
      <c r="O74" s="35" t="str">
        <f t="shared" si="62"/>
        <v>-</v>
      </c>
      <c r="P74" s="35" t="str">
        <f t="shared" si="43"/>
        <v>-</v>
      </c>
      <c r="Q74" s="36" t="str">
        <f t="shared" si="44"/>
        <v>-</v>
      </c>
      <c r="R74" s="34" t="str">
        <f t="shared" si="45"/>
        <v>-</v>
      </c>
      <c r="S74" s="35" t="str">
        <f t="shared" si="63"/>
        <v>-</v>
      </c>
      <c r="T74" s="35" t="str">
        <f t="shared" si="46"/>
        <v>-</v>
      </c>
      <c r="U74" s="36" t="str">
        <f t="shared" si="47"/>
        <v>-</v>
      </c>
      <c r="V74" s="34">
        <f t="shared" si="48"/>
        <v>1</v>
      </c>
      <c r="W74" s="35" t="str">
        <f t="shared" si="64"/>
        <v>-</v>
      </c>
      <c r="X74" s="35" t="str">
        <f t="shared" si="49"/>
        <v>-</v>
      </c>
      <c r="Y74" s="36" t="str">
        <f t="shared" si="50"/>
        <v>-</v>
      </c>
      <c r="Z74" s="34" t="str">
        <f t="shared" si="51"/>
        <v>-</v>
      </c>
      <c r="AA74" s="35" t="str">
        <f t="shared" si="65"/>
        <v>-</v>
      </c>
      <c r="AB74" s="35" t="str">
        <f t="shared" si="52"/>
        <v>-</v>
      </c>
      <c r="AC74" s="36" t="str">
        <f t="shared" si="53"/>
        <v>-</v>
      </c>
      <c r="AD74" s="34" t="str">
        <f t="shared" si="54"/>
        <v>-</v>
      </c>
      <c r="AE74" s="35" t="str">
        <f t="shared" si="66"/>
        <v>-</v>
      </c>
      <c r="AF74" s="35" t="str">
        <f t="shared" si="55"/>
        <v>-</v>
      </c>
      <c r="AG74" s="36" t="str">
        <f t="shared" si="56"/>
        <v>-</v>
      </c>
      <c r="AH74" s="34" t="str">
        <f t="shared" si="57"/>
        <v>-</v>
      </c>
      <c r="AI74" s="35" t="str">
        <f t="shared" si="67"/>
        <v>-</v>
      </c>
      <c r="AJ74" s="35" t="str">
        <f t="shared" si="58"/>
        <v>-</v>
      </c>
      <c r="AK74" s="36" t="str">
        <f t="shared" si="59"/>
        <v>-</v>
      </c>
      <c r="AL74" s="34" t="str">
        <f t="shared" si="68"/>
        <v>-</v>
      </c>
      <c r="AM74" s="35" t="str">
        <f t="shared" si="69"/>
        <v>-</v>
      </c>
      <c r="AN74" s="35" t="str">
        <f t="shared" si="70"/>
        <v>-</v>
      </c>
      <c r="AO74" s="36" t="str">
        <f t="shared" si="71"/>
        <v>-</v>
      </c>
    </row>
    <row r="75" spans="2:41" ht="15" x14ac:dyDescent="0.25">
      <c r="B75" s="428" t="s">
        <v>430</v>
      </c>
      <c r="C75" s="414">
        <v>2.2499999999999964</v>
      </c>
      <c r="D75" s="424" t="s">
        <v>122</v>
      </c>
      <c r="F75" s="34" t="str">
        <f t="shared" si="36"/>
        <v>-</v>
      </c>
      <c r="G75" s="35" t="str">
        <f t="shared" si="60"/>
        <v>-</v>
      </c>
      <c r="H75" s="35" t="str">
        <f t="shared" si="37"/>
        <v>-</v>
      </c>
      <c r="I75" s="36" t="str">
        <f t="shared" si="38"/>
        <v>-</v>
      </c>
      <c r="J75" s="34" t="str">
        <f t="shared" si="39"/>
        <v>-</v>
      </c>
      <c r="K75" s="35" t="str">
        <f t="shared" si="61"/>
        <v>-</v>
      </c>
      <c r="L75" s="35" t="str">
        <f t="shared" si="40"/>
        <v>-</v>
      </c>
      <c r="M75" s="36" t="str">
        <f t="shared" si="41"/>
        <v>-</v>
      </c>
      <c r="N75" s="34" t="str">
        <f t="shared" si="42"/>
        <v>-</v>
      </c>
      <c r="O75" s="35" t="str">
        <f t="shared" si="62"/>
        <v>-</v>
      </c>
      <c r="P75" s="35" t="str">
        <f t="shared" si="43"/>
        <v>-</v>
      </c>
      <c r="Q75" s="36" t="str">
        <f t="shared" si="44"/>
        <v>-</v>
      </c>
      <c r="R75" s="34" t="str">
        <f t="shared" si="45"/>
        <v>-</v>
      </c>
      <c r="S75" s="35" t="str">
        <f t="shared" si="63"/>
        <v>-</v>
      </c>
      <c r="T75" s="35" t="str">
        <f t="shared" si="46"/>
        <v>-</v>
      </c>
      <c r="U75" s="36" t="str">
        <f t="shared" si="47"/>
        <v>-</v>
      </c>
      <c r="V75" s="34">
        <f t="shared" si="48"/>
        <v>1</v>
      </c>
      <c r="W75" s="35" t="str">
        <f t="shared" si="64"/>
        <v>-</v>
      </c>
      <c r="X75" s="35" t="str">
        <f t="shared" si="49"/>
        <v>-</v>
      </c>
      <c r="Y75" s="36" t="str">
        <f t="shared" si="50"/>
        <v>-</v>
      </c>
      <c r="Z75" s="34" t="str">
        <f t="shared" si="51"/>
        <v>-</v>
      </c>
      <c r="AA75" s="35" t="str">
        <f t="shared" si="65"/>
        <v>-</v>
      </c>
      <c r="AB75" s="35" t="str">
        <f t="shared" si="52"/>
        <v>-</v>
      </c>
      <c r="AC75" s="36" t="str">
        <f t="shared" si="53"/>
        <v>-</v>
      </c>
      <c r="AD75" s="34" t="str">
        <f t="shared" si="54"/>
        <v>-</v>
      </c>
      <c r="AE75" s="35" t="str">
        <f t="shared" si="66"/>
        <v>-</v>
      </c>
      <c r="AF75" s="35" t="str">
        <f t="shared" si="55"/>
        <v>-</v>
      </c>
      <c r="AG75" s="36" t="str">
        <f t="shared" si="56"/>
        <v>-</v>
      </c>
      <c r="AH75" s="34" t="str">
        <f t="shared" si="57"/>
        <v>-</v>
      </c>
      <c r="AI75" s="35" t="str">
        <f t="shared" si="67"/>
        <v>-</v>
      </c>
      <c r="AJ75" s="35" t="str">
        <f t="shared" si="58"/>
        <v>-</v>
      </c>
      <c r="AK75" s="36" t="str">
        <f t="shared" si="59"/>
        <v>-</v>
      </c>
      <c r="AL75" s="34" t="str">
        <f t="shared" si="68"/>
        <v>-</v>
      </c>
      <c r="AM75" s="35" t="str">
        <f t="shared" si="69"/>
        <v>-</v>
      </c>
      <c r="AN75" s="35" t="str">
        <f t="shared" si="70"/>
        <v>-</v>
      </c>
      <c r="AO75" s="36" t="str">
        <f t="shared" si="71"/>
        <v>-</v>
      </c>
    </row>
    <row r="76" spans="2:41" ht="15" x14ac:dyDescent="0.25">
      <c r="B76" s="428" t="s">
        <v>91</v>
      </c>
      <c r="C76" s="414">
        <v>2.7100000000000009</v>
      </c>
      <c r="D76" s="424" t="s">
        <v>122</v>
      </c>
      <c r="F76" s="34" t="str">
        <f t="shared" si="36"/>
        <v>-</v>
      </c>
      <c r="G76" s="35" t="str">
        <f t="shared" si="60"/>
        <v>-</v>
      </c>
      <c r="H76" s="35" t="str">
        <f t="shared" si="37"/>
        <v>-</v>
      </c>
      <c r="I76" s="36" t="str">
        <f t="shared" si="38"/>
        <v>-</v>
      </c>
      <c r="J76" s="34" t="str">
        <f t="shared" si="39"/>
        <v>-</v>
      </c>
      <c r="K76" s="35" t="str">
        <f t="shared" si="61"/>
        <v>-</v>
      </c>
      <c r="L76" s="35" t="str">
        <f t="shared" si="40"/>
        <v>-</v>
      </c>
      <c r="M76" s="36" t="str">
        <f t="shared" si="41"/>
        <v>-</v>
      </c>
      <c r="N76" s="34" t="str">
        <f t="shared" si="42"/>
        <v>-</v>
      </c>
      <c r="O76" s="35" t="str">
        <f t="shared" si="62"/>
        <v>-</v>
      </c>
      <c r="P76" s="35" t="str">
        <f t="shared" si="43"/>
        <v>-</v>
      </c>
      <c r="Q76" s="36" t="str">
        <f t="shared" si="44"/>
        <v>-</v>
      </c>
      <c r="R76" s="34" t="str">
        <f t="shared" si="45"/>
        <v>-</v>
      </c>
      <c r="S76" s="35" t="str">
        <f t="shared" si="63"/>
        <v>-</v>
      </c>
      <c r="T76" s="35" t="str">
        <f t="shared" si="46"/>
        <v>-</v>
      </c>
      <c r="U76" s="36" t="str">
        <f t="shared" si="47"/>
        <v>-</v>
      </c>
      <c r="V76" s="34" t="str">
        <f t="shared" si="48"/>
        <v>-</v>
      </c>
      <c r="W76" s="35" t="str">
        <f t="shared" si="64"/>
        <v>-</v>
      </c>
      <c r="X76" s="35" t="str">
        <f t="shared" si="49"/>
        <v>-</v>
      </c>
      <c r="Y76" s="36" t="str">
        <f t="shared" si="50"/>
        <v>-</v>
      </c>
      <c r="Z76" s="34">
        <f t="shared" si="51"/>
        <v>1</v>
      </c>
      <c r="AA76" s="35" t="str">
        <f t="shared" si="65"/>
        <v>-</v>
      </c>
      <c r="AB76" s="35" t="str">
        <f t="shared" si="52"/>
        <v>-</v>
      </c>
      <c r="AC76" s="36" t="str">
        <f t="shared" si="53"/>
        <v>-</v>
      </c>
      <c r="AD76" s="34" t="str">
        <f t="shared" si="54"/>
        <v>-</v>
      </c>
      <c r="AE76" s="35" t="str">
        <f t="shared" si="66"/>
        <v>-</v>
      </c>
      <c r="AF76" s="35" t="str">
        <f t="shared" si="55"/>
        <v>-</v>
      </c>
      <c r="AG76" s="36" t="str">
        <f t="shared" si="56"/>
        <v>-</v>
      </c>
      <c r="AH76" s="34" t="str">
        <f t="shared" si="57"/>
        <v>-</v>
      </c>
      <c r="AI76" s="35" t="str">
        <f t="shared" si="67"/>
        <v>-</v>
      </c>
      <c r="AJ76" s="35" t="str">
        <f t="shared" si="58"/>
        <v>-</v>
      </c>
      <c r="AK76" s="36" t="str">
        <f t="shared" si="59"/>
        <v>-</v>
      </c>
      <c r="AL76" s="34" t="str">
        <f t="shared" si="68"/>
        <v>-</v>
      </c>
      <c r="AM76" s="35" t="str">
        <f t="shared" si="69"/>
        <v>-</v>
      </c>
      <c r="AN76" s="35" t="str">
        <f t="shared" si="70"/>
        <v>-</v>
      </c>
      <c r="AO76" s="36" t="str">
        <f t="shared" si="71"/>
        <v>-</v>
      </c>
    </row>
    <row r="77" spans="2:41" ht="15" x14ac:dyDescent="0.25">
      <c r="B77" s="428" t="s">
        <v>92</v>
      </c>
      <c r="C77" s="414">
        <v>2.1700000000000017</v>
      </c>
      <c r="D77" s="424" t="s">
        <v>122</v>
      </c>
      <c r="F77" s="34" t="str">
        <f t="shared" si="36"/>
        <v>-</v>
      </c>
      <c r="G77" s="35" t="str">
        <f t="shared" si="60"/>
        <v>-</v>
      </c>
      <c r="H77" s="35" t="str">
        <f t="shared" si="37"/>
        <v>-</v>
      </c>
      <c r="I77" s="36" t="str">
        <f t="shared" si="38"/>
        <v>-</v>
      </c>
      <c r="J77" s="34" t="str">
        <f t="shared" si="39"/>
        <v>-</v>
      </c>
      <c r="K77" s="35" t="str">
        <f t="shared" si="61"/>
        <v>-</v>
      </c>
      <c r="L77" s="35" t="str">
        <f t="shared" si="40"/>
        <v>-</v>
      </c>
      <c r="M77" s="36" t="str">
        <f t="shared" si="41"/>
        <v>-</v>
      </c>
      <c r="N77" s="34" t="str">
        <f t="shared" si="42"/>
        <v>-</v>
      </c>
      <c r="O77" s="35" t="str">
        <f t="shared" si="62"/>
        <v>-</v>
      </c>
      <c r="P77" s="35" t="str">
        <f t="shared" si="43"/>
        <v>-</v>
      </c>
      <c r="Q77" s="36" t="str">
        <f t="shared" si="44"/>
        <v>-</v>
      </c>
      <c r="R77" s="34" t="str">
        <f t="shared" si="45"/>
        <v>-</v>
      </c>
      <c r="S77" s="35" t="str">
        <f t="shared" si="63"/>
        <v>-</v>
      </c>
      <c r="T77" s="35" t="str">
        <f t="shared" si="46"/>
        <v>-</v>
      </c>
      <c r="U77" s="36" t="str">
        <f t="shared" si="47"/>
        <v>-</v>
      </c>
      <c r="V77" s="34">
        <f t="shared" si="48"/>
        <v>1</v>
      </c>
      <c r="W77" s="35" t="str">
        <f t="shared" si="64"/>
        <v>-</v>
      </c>
      <c r="X77" s="35" t="str">
        <f t="shared" si="49"/>
        <v>-</v>
      </c>
      <c r="Y77" s="36" t="str">
        <f t="shared" si="50"/>
        <v>-</v>
      </c>
      <c r="Z77" s="34" t="str">
        <f t="shared" si="51"/>
        <v>-</v>
      </c>
      <c r="AA77" s="35" t="str">
        <f t="shared" si="65"/>
        <v>-</v>
      </c>
      <c r="AB77" s="35" t="str">
        <f t="shared" si="52"/>
        <v>-</v>
      </c>
      <c r="AC77" s="36" t="str">
        <f t="shared" si="53"/>
        <v>-</v>
      </c>
      <c r="AD77" s="34" t="str">
        <f t="shared" si="54"/>
        <v>-</v>
      </c>
      <c r="AE77" s="35" t="str">
        <f t="shared" si="66"/>
        <v>-</v>
      </c>
      <c r="AF77" s="35" t="str">
        <f t="shared" si="55"/>
        <v>-</v>
      </c>
      <c r="AG77" s="36" t="str">
        <f t="shared" si="56"/>
        <v>-</v>
      </c>
      <c r="AH77" s="34" t="str">
        <f t="shared" si="57"/>
        <v>-</v>
      </c>
      <c r="AI77" s="35" t="str">
        <f t="shared" si="67"/>
        <v>-</v>
      </c>
      <c r="AJ77" s="35" t="str">
        <f t="shared" si="58"/>
        <v>-</v>
      </c>
      <c r="AK77" s="36" t="str">
        <f t="shared" si="59"/>
        <v>-</v>
      </c>
      <c r="AL77" s="34" t="str">
        <f t="shared" si="68"/>
        <v>-</v>
      </c>
      <c r="AM77" s="35" t="str">
        <f t="shared" si="69"/>
        <v>-</v>
      </c>
      <c r="AN77" s="35" t="str">
        <f t="shared" si="70"/>
        <v>-</v>
      </c>
      <c r="AO77" s="36" t="str">
        <f t="shared" si="71"/>
        <v>-</v>
      </c>
    </row>
    <row r="78" spans="2:41" ht="15" x14ac:dyDescent="0.25">
      <c r="B78" s="428" t="s">
        <v>431</v>
      </c>
      <c r="C78" s="414">
        <v>1.3099999999999952</v>
      </c>
      <c r="D78" s="424" t="s">
        <v>122</v>
      </c>
      <c r="F78" s="34" t="str">
        <f t="shared" si="36"/>
        <v>-</v>
      </c>
      <c r="G78" s="35" t="str">
        <f t="shared" si="60"/>
        <v>-</v>
      </c>
      <c r="H78" s="35" t="str">
        <f t="shared" si="37"/>
        <v>-</v>
      </c>
      <c r="I78" s="36" t="str">
        <f t="shared" si="38"/>
        <v>-</v>
      </c>
      <c r="J78" s="34">
        <f t="shared" si="39"/>
        <v>1</v>
      </c>
      <c r="K78" s="35" t="str">
        <f t="shared" si="61"/>
        <v>-</v>
      </c>
      <c r="L78" s="35" t="str">
        <f t="shared" si="40"/>
        <v>-</v>
      </c>
      <c r="M78" s="36" t="str">
        <f t="shared" si="41"/>
        <v>-</v>
      </c>
      <c r="N78" s="34" t="str">
        <f t="shared" si="42"/>
        <v>-</v>
      </c>
      <c r="O78" s="35" t="str">
        <f t="shared" si="62"/>
        <v>-</v>
      </c>
      <c r="P78" s="35" t="str">
        <f t="shared" si="43"/>
        <v>-</v>
      </c>
      <c r="Q78" s="36" t="str">
        <f t="shared" si="44"/>
        <v>-</v>
      </c>
      <c r="R78" s="34" t="str">
        <f t="shared" si="45"/>
        <v>-</v>
      </c>
      <c r="S78" s="35" t="str">
        <f t="shared" si="63"/>
        <v>-</v>
      </c>
      <c r="T78" s="35" t="str">
        <f t="shared" si="46"/>
        <v>-</v>
      </c>
      <c r="U78" s="36" t="str">
        <f t="shared" si="47"/>
        <v>-</v>
      </c>
      <c r="V78" s="34" t="str">
        <f t="shared" si="48"/>
        <v>-</v>
      </c>
      <c r="W78" s="35" t="str">
        <f t="shared" si="64"/>
        <v>-</v>
      </c>
      <c r="X78" s="35" t="str">
        <f t="shared" si="49"/>
        <v>-</v>
      </c>
      <c r="Y78" s="36" t="str">
        <f t="shared" si="50"/>
        <v>-</v>
      </c>
      <c r="Z78" s="34" t="str">
        <f t="shared" si="51"/>
        <v>-</v>
      </c>
      <c r="AA78" s="35" t="str">
        <f t="shared" si="65"/>
        <v>-</v>
      </c>
      <c r="AB78" s="35" t="str">
        <f t="shared" si="52"/>
        <v>-</v>
      </c>
      <c r="AC78" s="36" t="str">
        <f t="shared" si="53"/>
        <v>-</v>
      </c>
      <c r="AD78" s="34" t="str">
        <f t="shared" si="54"/>
        <v>-</v>
      </c>
      <c r="AE78" s="35" t="str">
        <f t="shared" si="66"/>
        <v>-</v>
      </c>
      <c r="AF78" s="35" t="str">
        <f t="shared" si="55"/>
        <v>-</v>
      </c>
      <c r="AG78" s="36" t="str">
        <f t="shared" si="56"/>
        <v>-</v>
      </c>
      <c r="AH78" s="34" t="str">
        <f t="shared" si="57"/>
        <v>-</v>
      </c>
      <c r="AI78" s="35" t="str">
        <f t="shared" si="67"/>
        <v>-</v>
      </c>
      <c r="AJ78" s="35" t="str">
        <f t="shared" si="58"/>
        <v>-</v>
      </c>
      <c r="AK78" s="36" t="str">
        <f t="shared" si="59"/>
        <v>-</v>
      </c>
      <c r="AL78" s="34" t="str">
        <f t="shared" si="68"/>
        <v>-</v>
      </c>
      <c r="AM78" s="35" t="str">
        <f t="shared" si="69"/>
        <v>-</v>
      </c>
      <c r="AN78" s="35" t="str">
        <f t="shared" si="70"/>
        <v>-</v>
      </c>
      <c r="AO78" s="36" t="str">
        <f t="shared" si="71"/>
        <v>-</v>
      </c>
    </row>
    <row r="79" spans="2:41" ht="15" x14ac:dyDescent="0.25">
      <c r="B79" s="428" t="s">
        <v>93</v>
      </c>
      <c r="C79" s="414">
        <v>1.2000000000000028</v>
      </c>
      <c r="D79" s="424" t="s">
        <v>122</v>
      </c>
      <c r="F79" s="34">
        <f t="shared" si="36"/>
        <v>1</v>
      </c>
      <c r="G79" s="35" t="str">
        <f t="shared" si="60"/>
        <v>-</v>
      </c>
      <c r="H79" s="35" t="str">
        <f t="shared" si="37"/>
        <v>-</v>
      </c>
      <c r="I79" s="36" t="str">
        <f t="shared" si="38"/>
        <v>-</v>
      </c>
      <c r="J79" s="34" t="str">
        <f t="shared" si="39"/>
        <v>-</v>
      </c>
      <c r="K79" s="35" t="str">
        <f t="shared" si="61"/>
        <v>-</v>
      </c>
      <c r="L79" s="35" t="str">
        <f t="shared" si="40"/>
        <v>-</v>
      </c>
      <c r="M79" s="36" t="str">
        <f t="shared" si="41"/>
        <v>-</v>
      </c>
      <c r="N79" s="34" t="str">
        <f t="shared" si="42"/>
        <v>-</v>
      </c>
      <c r="O79" s="35" t="str">
        <f t="shared" si="62"/>
        <v>-</v>
      </c>
      <c r="P79" s="35" t="str">
        <f t="shared" si="43"/>
        <v>-</v>
      </c>
      <c r="Q79" s="36" t="str">
        <f t="shared" si="44"/>
        <v>-</v>
      </c>
      <c r="R79" s="34" t="str">
        <f t="shared" si="45"/>
        <v>-</v>
      </c>
      <c r="S79" s="35" t="str">
        <f t="shared" si="63"/>
        <v>-</v>
      </c>
      <c r="T79" s="35" t="str">
        <f t="shared" si="46"/>
        <v>-</v>
      </c>
      <c r="U79" s="36" t="str">
        <f t="shared" si="47"/>
        <v>-</v>
      </c>
      <c r="V79" s="34" t="str">
        <f t="shared" si="48"/>
        <v>-</v>
      </c>
      <c r="W79" s="35" t="str">
        <f t="shared" si="64"/>
        <v>-</v>
      </c>
      <c r="X79" s="35" t="str">
        <f t="shared" si="49"/>
        <v>-</v>
      </c>
      <c r="Y79" s="36" t="str">
        <f t="shared" si="50"/>
        <v>-</v>
      </c>
      <c r="Z79" s="34" t="str">
        <f t="shared" si="51"/>
        <v>-</v>
      </c>
      <c r="AA79" s="35" t="str">
        <f t="shared" si="65"/>
        <v>-</v>
      </c>
      <c r="AB79" s="35" t="str">
        <f t="shared" si="52"/>
        <v>-</v>
      </c>
      <c r="AC79" s="36" t="str">
        <f t="shared" si="53"/>
        <v>-</v>
      </c>
      <c r="AD79" s="34" t="str">
        <f t="shared" si="54"/>
        <v>-</v>
      </c>
      <c r="AE79" s="35" t="str">
        <f t="shared" si="66"/>
        <v>-</v>
      </c>
      <c r="AF79" s="35" t="str">
        <f t="shared" si="55"/>
        <v>-</v>
      </c>
      <c r="AG79" s="36" t="str">
        <f t="shared" si="56"/>
        <v>-</v>
      </c>
      <c r="AH79" s="34" t="str">
        <f t="shared" si="57"/>
        <v>-</v>
      </c>
      <c r="AI79" s="35" t="str">
        <f t="shared" si="67"/>
        <v>-</v>
      </c>
      <c r="AJ79" s="35" t="str">
        <f t="shared" si="58"/>
        <v>-</v>
      </c>
      <c r="AK79" s="36" t="str">
        <f t="shared" si="59"/>
        <v>-</v>
      </c>
      <c r="AL79" s="34" t="str">
        <f t="shared" si="68"/>
        <v>-</v>
      </c>
      <c r="AM79" s="35" t="str">
        <f t="shared" si="69"/>
        <v>-</v>
      </c>
      <c r="AN79" s="35" t="str">
        <f t="shared" si="70"/>
        <v>-</v>
      </c>
      <c r="AO79" s="36" t="str">
        <f t="shared" si="71"/>
        <v>-</v>
      </c>
    </row>
    <row r="80" spans="2:41" ht="15" x14ac:dyDescent="0.25">
      <c r="B80" s="428" t="s">
        <v>94</v>
      </c>
      <c r="C80" s="414">
        <v>1.4600000000000009</v>
      </c>
      <c r="D80" s="424" t="s">
        <v>122</v>
      </c>
      <c r="F80" s="34" t="str">
        <f t="shared" si="36"/>
        <v>-</v>
      </c>
      <c r="G80" s="35" t="str">
        <f t="shared" si="60"/>
        <v>-</v>
      </c>
      <c r="H80" s="35" t="str">
        <f t="shared" si="37"/>
        <v>-</v>
      </c>
      <c r="I80" s="36" t="str">
        <f t="shared" si="38"/>
        <v>-</v>
      </c>
      <c r="J80" s="34">
        <f t="shared" si="39"/>
        <v>1</v>
      </c>
      <c r="K80" s="35" t="str">
        <f t="shared" si="61"/>
        <v>-</v>
      </c>
      <c r="L80" s="35" t="str">
        <f t="shared" si="40"/>
        <v>-</v>
      </c>
      <c r="M80" s="36" t="str">
        <f t="shared" si="41"/>
        <v>-</v>
      </c>
      <c r="N80" s="34" t="str">
        <f t="shared" si="42"/>
        <v>-</v>
      </c>
      <c r="O80" s="35" t="str">
        <f t="shared" si="62"/>
        <v>-</v>
      </c>
      <c r="P80" s="35" t="str">
        <f t="shared" si="43"/>
        <v>-</v>
      </c>
      <c r="Q80" s="36" t="str">
        <f t="shared" si="44"/>
        <v>-</v>
      </c>
      <c r="R80" s="34" t="str">
        <f t="shared" si="45"/>
        <v>-</v>
      </c>
      <c r="S80" s="35" t="str">
        <f t="shared" si="63"/>
        <v>-</v>
      </c>
      <c r="T80" s="35" t="str">
        <f t="shared" si="46"/>
        <v>-</v>
      </c>
      <c r="U80" s="36" t="str">
        <f t="shared" si="47"/>
        <v>-</v>
      </c>
      <c r="V80" s="34" t="str">
        <f t="shared" si="48"/>
        <v>-</v>
      </c>
      <c r="W80" s="35" t="str">
        <f t="shared" si="64"/>
        <v>-</v>
      </c>
      <c r="X80" s="35" t="str">
        <f t="shared" si="49"/>
        <v>-</v>
      </c>
      <c r="Y80" s="36" t="str">
        <f t="shared" si="50"/>
        <v>-</v>
      </c>
      <c r="Z80" s="34" t="str">
        <f t="shared" si="51"/>
        <v>-</v>
      </c>
      <c r="AA80" s="35" t="str">
        <f t="shared" si="65"/>
        <v>-</v>
      </c>
      <c r="AB80" s="35" t="str">
        <f t="shared" si="52"/>
        <v>-</v>
      </c>
      <c r="AC80" s="36" t="str">
        <f t="shared" si="53"/>
        <v>-</v>
      </c>
      <c r="AD80" s="34" t="str">
        <f t="shared" si="54"/>
        <v>-</v>
      </c>
      <c r="AE80" s="35" t="str">
        <f t="shared" si="66"/>
        <v>-</v>
      </c>
      <c r="AF80" s="35" t="str">
        <f t="shared" si="55"/>
        <v>-</v>
      </c>
      <c r="AG80" s="36" t="str">
        <f t="shared" si="56"/>
        <v>-</v>
      </c>
      <c r="AH80" s="34" t="str">
        <f t="shared" si="57"/>
        <v>-</v>
      </c>
      <c r="AI80" s="35" t="str">
        <f t="shared" si="67"/>
        <v>-</v>
      </c>
      <c r="AJ80" s="35" t="str">
        <f t="shared" si="58"/>
        <v>-</v>
      </c>
      <c r="AK80" s="36" t="str">
        <f t="shared" si="59"/>
        <v>-</v>
      </c>
      <c r="AL80" s="34" t="str">
        <f t="shared" si="68"/>
        <v>-</v>
      </c>
      <c r="AM80" s="35" t="str">
        <f t="shared" si="69"/>
        <v>-</v>
      </c>
      <c r="AN80" s="35" t="str">
        <f t="shared" si="70"/>
        <v>-</v>
      </c>
      <c r="AO80" s="36" t="str">
        <f t="shared" si="71"/>
        <v>-</v>
      </c>
    </row>
    <row r="81" spans="2:41" ht="15" x14ac:dyDescent="0.25">
      <c r="B81" s="428" t="s">
        <v>95</v>
      </c>
      <c r="C81" s="414">
        <v>1.9499999999999957</v>
      </c>
      <c r="D81" s="424" t="s">
        <v>122</v>
      </c>
      <c r="F81" s="34" t="str">
        <f t="shared" si="36"/>
        <v>-</v>
      </c>
      <c r="G81" s="35" t="str">
        <f t="shared" si="60"/>
        <v>-</v>
      </c>
      <c r="H81" s="35" t="str">
        <f t="shared" si="37"/>
        <v>-</v>
      </c>
      <c r="I81" s="36" t="str">
        <f t="shared" si="38"/>
        <v>-</v>
      </c>
      <c r="J81" s="34" t="str">
        <f t="shared" si="39"/>
        <v>-</v>
      </c>
      <c r="K81" s="35" t="str">
        <f t="shared" si="61"/>
        <v>-</v>
      </c>
      <c r="L81" s="35" t="str">
        <f t="shared" si="40"/>
        <v>-</v>
      </c>
      <c r="M81" s="36" t="str">
        <f t="shared" si="41"/>
        <v>-</v>
      </c>
      <c r="N81" s="34" t="str">
        <f t="shared" si="42"/>
        <v>-</v>
      </c>
      <c r="O81" s="35" t="str">
        <f t="shared" si="62"/>
        <v>-</v>
      </c>
      <c r="P81" s="35" t="str">
        <f t="shared" si="43"/>
        <v>-</v>
      </c>
      <c r="Q81" s="36" t="str">
        <f t="shared" si="44"/>
        <v>-</v>
      </c>
      <c r="R81" s="34">
        <f t="shared" si="45"/>
        <v>1</v>
      </c>
      <c r="S81" s="35" t="str">
        <f t="shared" si="63"/>
        <v>-</v>
      </c>
      <c r="T81" s="35" t="str">
        <f t="shared" si="46"/>
        <v>-</v>
      </c>
      <c r="U81" s="36" t="str">
        <f t="shared" si="47"/>
        <v>-</v>
      </c>
      <c r="V81" s="34" t="str">
        <f t="shared" si="48"/>
        <v>-</v>
      </c>
      <c r="W81" s="35" t="str">
        <f t="shared" si="64"/>
        <v>-</v>
      </c>
      <c r="X81" s="35" t="str">
        <f t="shared" si="49"/>
        <v>-</v>
      </c>
      <c r="Y81" s="36" t="str">
        <f t="shared" si="50"/>
        <v>-</v>
      </c>
      <c r="Z81" s="34" t="str">
        <f t="shared" si="51"/>
        <v>-</v>
      </c>
      <c r="AA81" s="35" t="str">
        <f t="shared" si="65"/>
        <v>-</v>
      </c>
      <c r="AB81" s="35" t="str">
        <f t="shared" si="52"/>
        <v>-</v>
      </c>
      <c r="AC81" s="36" t="str">
        <f t="shared" si="53"/>
        <v>-</v>
      </c>
      <c r="AD81" s="34" t="str">
        <f t="shared" si="54"/>
        <v>-</v>
      </c>
      <c r="AE81" s="35" t="str">
        <f t="shared" si="66"/>
        <v>-</v>
      </c>
      <c r="AF81" s="35" t="str">
        <f t="shared" si="55"/>
        <v>-</v>
      </c>
      <c r="AG81" s="36" t="str">
        <f t="shared" si="56"/>
        <v>-</v>
      </c>
      <c r="AH81" s="34" t="str">
        <f t="shared" si="57"/>
        <v>-</v>
      </c>
      <c r="AI81" s="35" t="str">
        <f t="shared" si="67"/>
        <v>-</v>
      </c>
      <c r="AJ81" s="35" t="str">
        <f t="shared" si="58"/>
        <v>-</v>
      </c>
      <c r="AK81" s="36" t="str">
        <f t="shared" si="59"/>
        <v>-</v>
      </c>
      <c r="AL81" s="34" t="str">
        <f t="shared" si="68"/>
        <v>-</v>
      </c>
      <c r="AM81" s="35" t="str">
        <f t="shared" si="69"/>
        <v>-</v>
      </c>
      <c r="AN81" s="35" t="str">
        <f t="shared" si="70"/>
        <v>-</v>
      </c>
      <c r="AO81" s="36" t="str">
        <f t="shared" si="71"/>
        <v>-</v>
      </c>
    </row>
    <row r="82" spans="2:41" ht="15" x14ac:dyDescent="0.25">
      <c r="B82" s="429" t="s">
        <v>96</v>
      </c>
      <c r="C82" s="413">
        <v>1.9899999999999949</v>
      </c>
      <c r="D82" s="420" t="s">
        <v>123</v>
      </c>
      <c r="F82" s="34" t="str">
        <f t="shared" si="36"/>
        <v>-</v>
      </c>
      <c r="G82" s="35" t="str">
        <f t="shared" si="60"/>
        <v>-</v>
      </c>
      <c r="H82" s="35" t="str">
        <f t="shared" si="37"/>
        <v>-</v>
      </c>
      <c r="I82" s="36" t="str">
        <f t="shared" si="38"/>
        <v>-</v>
      </c>
      <c r="J82" s="34" t="str">
        <f t="shared" si="39"/>
        <v>-</v>
      </c>
      <c r="K82" s="35" t="str">
        <f t="shared" si="61"/>
        <v>-</v>
      </c>
      <c r="L82" s="35" t="str">
        <f t="shared" si="40"/>
        <v>-</v>
      </c>
      <c r="M82" s="36" t="str">
        <f t="shared" si="41"/>
        <v>-</v>
      </c>
      <c r="N82" s="34" t="str">
        <f t="shared" si="42"/>
        <v>-</v>
      </c>
      <c r="O82" s="35" t="str">
        <f t="shared" si="62"/>
        <v>-</v>
      </c>
      <c r="P82" s="35" t="str">
        <f t="shared" si="43"/>
        <v>-</v>
      </c>
      <c r="Q82" s="36" t="str">
        <f t="shared" si="44"/>
        <v>-</v>
      </c>
      <c r="R82" s="34" t="str">
        <f t="shared" si="45"/>
        <v>-</v>
      </c>
      <c r="S82" s="35" t="str">
        <f t="shared" si="63"/>
        <v>-</v>
      </c>
      <c r="T82" s="35" t="str">
        <f t="shared" si="46"/>
        <v>-</v>
      </c>
      <c r="U82" s="36">
        <f t="shared" si="47"/>
        <v>1</v>
      </c>
      <c r="V82" s="34" t="str">
        <f t="shared" si="48"/>
        <v>-</v>
      </c>
      <c r="W82" s="35" t="str">
        <f t="shared" si="64"/>
        <v>-</v>
      </c>
      <c r="X82" s="35" t="str">
        <f t="shared" si="49"/>
        <v>-</v>
      </c>
      <c r="Y82" s="36" t="str">
        <f t="shared" si="50"/>
        <v>-</v>
      </c>
      <c r="Z82" s="34" t="str">
        <f t="shared" si="51"/>
        <v>-</v>
      </c>
      <c r="AA82" s="35" t="str">
        <f t="shared" si="65"/>
        <v>-</v>
      </c>
      <c r="AB82" s="35" t="str">
        <f t="shared" si="52"/>
        <v>-</v>
      </c>
      <c r="AC82" s="36" t="str">
        <f t="shared" si="53"/>
        <v>-</v>
      </c>
      <c r="AD82" s="34" t="str">
        <f t="shared" si="54"/>
        <v>-</v>
      </c>
      <c r="AE82" s="35" t="str">
        <f t="shared" si="66"/>
        <v>-</v>
      </c>
      <c r="AF82" s="35" t="str">
        <f t="shared" si="55"/>
        <v>-</v>
      </c>
      <c r="AG82" s="36" t="str">
        <f t="shared" si="56"/>
        <v>-</v>
      </c>
      <c r="AH82" s="34" t="str">
        <f t="shared" si="57"/>
        <v>-</v>
      </c>
      <c r="AI82" s="35" t="str">
        <f t="shared" si="67"/>
        <v>-</v>
      </c>
      <c r="AJ82" s="35" t="str">
        <f t="shared" si="58"/>
        <v>-</v>
      </c>
      <c r="AK82" s="36" t="str">
        <f t="shared" si="59"/>
        <v>-</v>
      </c>
      <c r="AL82" s="34" t="str">
        <f t="shared" si="68"/>
        <v>-</v>
      </c>
      <c r="AM82" s="35" t="str">
        <f t="shared" si="69"/>
        <v>-</v>
      </c>
      <c r="AN82" s="35" t="str">
        <f t="shared" si="70"/>
        <v>-</v>
      </c>
      <c r="AO82" s="36" t="str">
        <f t="shared" si="71"/>
        <v>-</v>
      </c>
    </row>
    <row r="83" spans="2:41" ht="15" x14ac:dyDescent="0.25">
      <c r="B83" s="430" t="s">
        <v>96</v>
      </c>
      <c r="C83" s="412">
        <v>1.99</v>
      </c>
      <c r="D83" s="417" t="s">
        <v>126</v>
      </c>
      <c r="F83" s="34" t="str">
        <f t="shared" si="36"/>
        <v>-</v>
      </c>
      <c r="G83" s="35" t="str">
        <f t="shared" si="60"/>
        <v>-</v>
      </c>
      <c r="H83" s="35" t="str">
        <f t="shared" si="37"/>
        <v>-</v>
      </c>
      <c r="I83" s="36" t="str">
        <f t="shared" si="38"/>
        <v>-</v>
      </c>
      <c r="J83" s="34" t="str">
        <f t="shared" si="39"/>
        <v>-</v>
      </c>
      <c r="K83" s="35" t="str">
        <f t="shared" si="61"/>
        <v>-</v>
      </c>
      <c r="L83" s="35" t="str">
        <f t="shared" si="40"/>
        <v>-</v>
      </c>
      <c r="M83" s="36" t="str">
        <f t="shared" si="41"/>
        <v>-</v>
      </c>
      <c r="N83" s="34" t="str">
        <f t="shared" si="42"/>
        <v>-</v>
      </c>
      <c r="O83" s="35" t="str">
        <f t="shared" si="62"/>
        <v>-</v>
      </c>
      <c r="P83" s="35" t="str">
        <f t="shared" si="43"/>
        <v>-</v>
      </c>
      <c r="Q83" s="36" t="str">
        <f t="shared" si="44"/>
        <v>-</v>
      </c>
      <c r="R83" s="34" t="str">
        <f t="shared" si="45"/>
        <v>-</v>
      </c>
      <c r="S83" s="35" t="str">
        <f t="shared" si="63"/>
        <v>-</v>
      </c>
      <c r="T83" s="35">
        <f t="shared" si="46"/>
        <v>1</v>
      </c>
      <c r="U83" s="36" t="str">
        <f t="shared" si="47"/>
        <v>-</v>
      </c>
      <c r="V83" s="34" t="str">
        <f t="shared" si="48"/>
        <v>-</v>
      </c>
      <c r="W83" s="35" t="str">
        <f t="shared" si="64"/>
        <v>-</v>
      </c>
      <c r="X83" s="35" t="str">
        <f t="shared" si="49"/>
        <v>-</v>
      </c>
      <c r="Y83" s="36" t="str">
        <f t="shared" si="50"/>
        <v>-</v>
      </c>
      <c r="Z83" s="34" t="str">
        <f t="shared" si="51"/>
        <v>-</v>
      </c>
      <c r="AA83" s="35" t="str">
        <f t="shared" si="65"/>
        <v>-</v>
      </c>
      <c r="AB83" s="35" t="str">
        <f t="shared" si="52"/>
        <v>-</v>
      </c>
      <c r="AC83" s="36" t="str">
        <f t="shared" si="53"/>
        <v>-</v>
      </c>
      <c r="AD83" s="34" t="str">
        <f t="shared" si="54"/>
        <v>-</v>
      </c>
      <c r="AE83" s="35" t="str">
        <f t="shared" si="66"/>
        <v>-</v>
      </c>
      <c r="AF83" s="35" t="str">
        <f t="shared" si="55"/>
        <v>-</v>
      </c>
      <c r="AG83" s="36" t="str">
        <f t="shared" si="56"/>
        <v>-</v>
      </c>
      <c r="AH83" s="34" t="str">
        <f t="shared" si="57"/>
        <v>-</v>
      </c>
      <c r="AI83" s="35" t="str">
        <f t="shared" si="67"/>
        <v>-</v>
      </c>
      <c r="AJ83" s="35" t="str">
        <f t="shared" si="58"/>
        <v>-</v>
      </c>
      <c r="AK83" s="36" t="str">
        <f t="shared" si="59"/>
        <v>-</v>
      </c>
      <c r="AL83" s="34" t="str">
        <f t="shared" si="68"/>
        <v>-</v>
      </c>
      <c r="AM83" s="35" t="str">
        <f t="shared" si="69"/>
        <v>-</v>
      </c>
      <c r="AN83" s="35" t="str">
        <f t="shared" si="70"/>
        <v>-</v>
      </c>
      <c r="AO83" s="36" t="str">
        <f t="shared" si="71"/>
        <v>-</v>
      </c>
    </row>
    <row r="84" spans="2:41" ht="15" x14ac:dyDescent="0.25">
      <c r="B84" s="430" t="s">
        <v>432</v>
      </c>
      <c r="C84" s="412">
        <v>2</v>
      </c>
      <c r="D84" s="417" t="s">
        <v>126</v>
      </c>
      <c r="F84" s="34" t="str">
        <f t="shared" si="36"/>
        <v>-</v>
      </c>
      <c r="G84" s="35" t="str">
        <f t="shared" si="60"/>
        <v>-</v>
      </c>
      <c r="H84" s="35" t="str">
        <f t="shared" si="37"/>
        <v>-</v>
      </c>
      <c r="I84" s="36" t="str">
        <f t="shared" si="38"/>
        <v>-</v>
      </c>
      <c r="J84" s="34" t="str">
        <f t="shared" si="39"/>
        <v>-</v>
      </c>
      <c r="K84" s="35" t="str">
        <f t="shared" si="61"/>
        <v>-</v>
      </c>
      <c r="L84" s="35" t="str">
        <f t="shared" si="40"/>
        <v>-</v>
      </c>
      <c r="M84" s="36" t="str">
        <f t="shared" si="41"/>
        <v>-</v>
      </c>
      <c r="N84" s="34" t="str">
        <f t="shared" si="42"/>
        <v>-</v>
      </c>
      <c r="O84" s="35" t="str">
        <f t="shared" si="62"/>
        <v>-</v>
      </c>
      <c r="P84" s="35" t="str">
        <f t="shared" si="43"/>
        <v>-</v>
      </c>
      <c r="Q84" s="36" t="str">
        <f t="shared" si="44"/>
        <v>-</v>
      </c>
      <c r="R84" s="34" t="str">
        <f t="shared" si="45"/>
        <v>-</v>
      </c>
      <c r="S84" s="35" t="str">
        <f t="shared" si="63"/>
        <v>-</v>
      </c>
      <c r="T84" s="35">
        <f t="shared" si="46"/>
        <v>1</v>
      </c>
      <c r="U84" s="36" t="str">
        <f t="shared" si="47"/>
        <v>-</v>
      </c>
      <c r="V84" s="34" t="str">
        <f t="shared" si="48"/>
        <v>-</v>
      </c>
      <c r="W84" s="35" t="str">
        <f t="shared" si="64"/>
        <v>-</v>
      </c>
      <c r="X84" s="35" t="str">
        <f t="shared" si="49"/>
        <v>-</v>
      </c>
      <c r="Y84" s="36" t="str">
        <f t="shared" si="50"/>
        <v>-</v>
      </c>
      <c r="Z84" s="34" t="str">
        <f t="shared" si="51"/>
        <v>-</v>
      </c>
      <c r="AA84" s="35" t="str">
        <f t="shared" si="65"/>
        <v>-</v>
      </c>
      <c r="AB84" s="35" t="str">
        <f t="shared" si="52"/>
        <v>-</v>
      </c>
      <c r="AC84" s="36" t="str">
        <f t="shared" si="53"/>
        <v>-</v>
      </c>
      <c r="AD84" s="34" t="str">
        <f t="shared" si="54"/>
        <v>-</v>
      </c>
      <c r="AE84" s="35" t="str">
        <f t="shared" si="66"/>
        <v>-</v>
      </c>
      <c r="AF84" s="35" t="str">
        <f t="shared" si="55"/>
        <v>-</v>
      </c>
      <c r="AG84" s="36" t="str">
        <f t="shared" si="56"/>
        <v>-</v>
      </c>
      <c r="AH84" s="34" t="str">
        <f t="shared" si="57"/>
        <v>-</v>
      </c>
      <c r="AI84" s="35" t="str">
        <f t="shared" si="67"/>
        <v>-</v>
      </c>
      <c r="AJ84" s="35" t="str">
        <f t="shared" si="58"/>
        <v>-</v>
      </c>
      <c r="AK84" s="36" t="str">
        <f t="shared" si="59"/>
        <v>-</v>
      </c>
      <c r="AL84" s="34" t="str">
        <f t="shared" si="68"/>
        <v>-</v>
      </c>
      <c r="AM84" s="35" t="str">
        <f t="shared" si="69"/>
        <v>-</v>
      </c>
      <c r="AN84" s="35" t="str">
        <f t="shared" si="70"/>
        <v>-</v>
      </c>
      <c r="AO84" s="36" t="str">
        <f t="shared" si="71"/>
        <v>-</v>
      </c>
    </row>
    <row r="85" spans="2:41" ht="15" x14ac:dyDescent="0.25">
      <c r="B85" s="415" t="s">
        <v>97</v>
      </c>
      <c r="C85" s="411">
        <v>1.9699999999999989</v>
      </c>
      <c r="D85" s="424" t="s">
        <v>122</v>
      </c>
      <c r="F85" s="34" t="str">
        <f t="shared" si="36"/>
        <v>-</v>
      </c>
      <c r="G85" s="35" t="str">
        <f t="shared" si="60"/>
        <v>-</v>
      </c>
      <c r="H85" s="35" t="str">
        <f t="shared" si="37"/>
        <v>-</v>
      </c>
      <c r="I85" s="36" t="str">
        <f t="shared" si="38"/>
        <v>-</v>
      </c>
      <c r="J85" s="34" t="str">
        <f t="shared" si="39"/>
        <v>-</v>
      </c>
      <c r="K85" s="35" t="str">
        <f t="shared" si="61"/>
        <v>-</v>
      </c>
      <c r="L85" s="35" t="str">
        <f t="shared" si="40"/>
        <v>-</v>
      </c>
      <c r="M85" s="36" t="str">
        <f t="shared" si="41"/>
        <v>-</v>
      </c>
      <c r="N85" s="34" t="str">
        <f t="shared" si="42"/>
        <v>-</v>
      </c>
      <c r="O85" s="35" t="str">
        <f t="shared" si="62"/>
        <v>-</v>
      </c>
      <c r="P85" s="35" t="str">
        <f t="shared" si="43"/>
        <v>-</v>
      </c>
      <c r="Q85" s="36" t="str">
        <f t="shared" si="44"/>
        <v>-</v>
      </c>
      <c r="R85" s="34">
        <f t="shared" si="45"/>
        <v>1</v>
      </c>
      <c r="S85" s="35" t="str">
        <f t="shared" si="63"/>
        <v>-</v>
      </c>
      <c r="T85" s="35" t="str">
        <f t="shared" si="46"/>
        <v>-</v>
      </c>
      <c r="U85" s="36" t="str">
        <f t="shared" si="47"/>
        <v>-</v>
      </c>
      <c r="V85" s="34" t="str">
        <f t="shared" si="48"/>
        <v>-</v>
      </c>
      <c r="W85" s="35" t="str">
        <f t="shared" si="64"/>
        <v>-</v>
      </c>
      <c r="X85" s="35" t="str">
        <f t="shared" si="49"/>
        <v>-</v>
      </c>
      <c r="Y85" s="36" t="str">
        <f t="shared" si="50"/>
        <v>-</v>
      </c>
      <c r="Z85" s="34" t="str">
        <f t="shared" si="51"/>
        <v>-</v>
      </c>
      <c r="AA85" s="35" t="str">
        <f t="shared" si="65"/>
        <v>-</v>
      </c>
      <c r="AB85" s="35" t="str">
        <f t="shared" si="52"/>
        <v>-</v>
      </c>
      <c r="AC85" s="36" t="str">
        <f t="shared" si="53"/>
        <v>-</v>
      </c>
      <c r="AD85" s="34" t="str">
        <f t="shared" si="54"/>
        <v>-</v>
      </c>
      <c r="AE85" s="35" t="str">
        <f t="shared" si="66"/>
        <v>-</v>
      </c>
      <c r="AF85" s="35" t="str">
        <f t="shared" si="55"/>
        <v>-</v>
      </c>
      <c r="AG85" s="36" t="str">
        <f t="shared" si="56"/>
        <v>-</v>
      </c>
      <c r="AH85" s="34" t="str">
        <f t="shared" si="57"/>
        <v>-</v>
      </c>
      <c r="AI85" s="35" t="str">
        <f t="shared" si="67"/>
        <v>-</v>
      </c>
      <c r="AJ85" s="35" t="str">
        <f t="shared" si="58"/>
        <v>-</v>
      </c>
      <c r="AK85" s="36" t="str">
        <f t="shared" si="59"/>
        <v>-</v>
      </c>
      <c r="AL85" s="34" t="str">
        <f t="shared" si="68"/>
        <v>-</v>
      </c>
      <c r="AM85" s="35" t="str">
        <f t="shared" si="69"/>
        <v>-</v>
      </c>
      <c r="AN85" s="35" t="str">
        <f t="shared" si="70"/>
        <v>-</v>
      </c>
      <c r="AO85" s="36" t="str">
        <f t="shared" si="71"/>
        <v>-</v>
      </c>
    </row>
    <row r="86" spans="2:41" ht="15" x14ac:dyDescent="0.25">
      <c r="B86" s="415" t="s">
        <v>98</v>
      </c>
      <c r="C86" s="411">
        <v>1.8999999999999986</v>
      </c>
      <c r="D86" s="424" t="s">
        <v>122</v>
      </c>
      <c r="F86" s="34" t="str">
        <f t="shared" si="36"/>
        <v>-</v>
      </c>
      <c r="G86" s="35" t="str">
        <f t="shared" si="60"/>
        <v>-</v>
      </c>
      <c r="H86" s="35" t="str">
        <f t="shared" si="37"/>
        <v>-</v>
      </c>
      <c r="I86" s="36" t="str">
        <f t="shared" si="38"/>
        <v>-</v>
      </c>
      <c r="J86" s="34" t="str">
        <f t="shared" si="39"/>
        <v>-</v>
      </c>
      <c r="K86" s="35" t="str">
        <f t="shared" si="61"/>
        <v>-</v>
      </c>
      <c r="L86" s="35" t="str">
        <f t="shared" si="40"/>
        <v>-</v>
      </c>
      <c r="M86" s="36" t="str">
        <f t="shared" si="41"/>
        <v>-</v>
      </c>
      <c r="N86" s="34" t="str">
        <f t="shared" si="42"/>
        <v>-</v>
      </c>
      <c r="O86" s="35" t="str">
        <f t="shared" si="62"/>
        <v>-</v>
      </c>
      <c r="P86" s="35" t="str">
        <f t="shared" si="43"/>
        <v>-</v>
      </c>
      <c r="Q86" s="36" t="str">
        <f t="shared" si="44"/>
        <v>-</v>
      </c>
      <c r="R86" s="34">
        <f t="shared" si="45"/>
        <v>1</v>
      </c>
      <c r="S86" s="35" t="str">
        <f t="shared" si="63"/>
        <v>-</v>
      </c>
      <c r="T86" s="35" t="str">
        <f t="shared" si="46"/>
        <v>-</v>
      </c>
      <c r="U86" s="36" t="str">
        <f t="shared" si="47"/>
        <v>-</v>
      </c>
      <c r="V86" s="34" t="str">
        <f t="shared" si="48"/>
        <v>-</v>
      </c>
      <c r="W86" s="35" t="str">
        <f t="shared" si="64"/>
        <v>-</v>
      </c>
      <c r="X86" s="35" t="str">
        <f t="shared" si="49"/>
        <v>-</v>
      </c>
      <c r="Y86" s="36" t="str">
        <f t="shared" si="50"/>
        <v>-</v>
      </c>
      <c r="Z86" s="34" t="str">
        <f t="shared" si="51"/>
        <v>-</v>
      </c>
      <c r="AA86" s="35" t="str">
        <f t="shared" si="65"/>
        <v>-</v>
      </c>
      <c r="AB86" s="35" t="str">
        <f t="shared" si="52"/>
        <v>-</v>
      </c>
      <c r="AC86" s="36" t="str">
        <f t="shared" si="53"/>
        <v>-</v>
      </c>
      <c r="AD86" s="34" t="str">
        <f t="shared" si="54"/>
        <v>-</v>
      </c>
      <c r="AE86" s="35" t="str">
        <f t="shared" si="66"/>
        <v>-</v>
      </c>
      <c r="AF86" s="35" t="str">
        <f t="shared" si="55"/>
        <v>-</v>
      </c>
      <c r="AG86" s="36" t="str">
        <f t="shared" si="56"/>
        <v>-</v>
      </c>
      <c r="AH86" s="34" t="str">
        <f t="shared" si="57"/>
        <v>-</v>
      </c>
      <c r="AI86" s="35" t="str">
        <f t="shared" si="67"/>
        <v>-</v>
      </c>
      <c r="AJ86" s="35" t="str">
        <f t="shared" si="58"/>
        <v>-</v>
      </c>
      <c r="AK86" s="36" t="str">
        <f t="shared" si="59"/>
        <v>-</v>
      </c>
      <c r="AL86" s="34" t="str">
        <f t="shared" si="68"/>
        <v>-</v>
      </c>
      <c r="AM86" s="35" t="str">
        <f t="shared" si="69"/>
        <v>-</v>
      </c>
      <c r="AN86" s="35" t="str">
        <f t="shared" si="70"/>
        <v>-</v>
      </c>
      <c r="AO86" s="36" t="str">
        <f t="shared" si="71"/>
        <v>-</v>
      </c>
    </row>
    <row r="87" spans="2:41" ht="15" x14ac:dyDescent="0.25">
      <c r="B87" s="415" t="s">
        <v>99</v>
      </c>
      <c r="C87" s="411">
        <v>1.6700000000000017</v>
      </c>
      <c r="D87" s="424" t="s">
        <v>122</v>
      </c>
      <c r="F87" s="34" t="str">
        <f t="shared" si="36"/>
        <v>-</v>
      </c>
      <c r="G87" s="35" t="str">
        <f t="shared" si="60"/>
        <v>-</v>
      </c>
      <c r="H87" s="35" t="str">
        <f t="shared" si="37"/>
        <v>-</v>
      </c>
      <c r="I87" s="36" t="str">
        <f t="shared" si="38"/>
        <v>-</v>
      </c>
      <c r="J87" s="34" t="str">
        <f t="shared" si="39"/>
        <v>-</v>
      </c>
      <c r="K87" s="35" t="str">
        <f t="shared" si="61"/>
        <v>-</v>
      </c>
      <c r="L87" s="35" t="str">
        <f t="shared" si="40"/>
        <v>-</v>
      </c>
      <c r="M87" s="36" t="str">
        <f t="shared" si="41"/>
        <v>-</v>
      </c>
      <c r="N87" s="34">
        <f t="shared" si="42"/>
        <v>1</v>
      </c>
      <c r="O87" s="35" t="str">
        <f t="shared" si="62"/>
        <v>-</v>
      </c>
      <c r="P87" s="35" t="str">
        <f t="shared" si="43"/>
        <v>-</v>
      </c>
      <c r="Q87" s="36" t="str">
        <f t="shared" si="44"/>
        <v>-</v>
      </c>
      <c r="R87" s="34" t="str">
        <f t="shared" si="45"/>
        <v>-</v>
      </c>
      <c r="S87" s="35" t="str">
        <f t="shared" si="63"/>
        <v>-</v>
      </c>
      <c r="T87" s="35" t="str">
        <f t="shared" si="46"/>
        <v>-</v>
      </c>
      <c r="U87" s="36" t="str">
        <f t="shared" si="47"/>
        <v>-</v>
      </c>
      <c r="V87" s="34" t="str">
        <f t="shared" si="48"/>
        <v>-</v>
      </c>
      <c r="W87" s="35" t="str">
        <f t="shared" si="64"/>
        <v>-</v>
      </c>
      <c r="X87" s="35" t="str">
        <f t="shared" si="49"/>
        <v>-</v>
      </c>
      <c r="Y87" s="36" t="str">
        <f t="shared" si="50"/>
        <v>-</v>
      </c>
      <c r="Z87" s="34" t="str">
        <f t="shared" si="51"/>
        <v>-</v>
      </c>
      <c r="AA87" s="35" t="str">
        <f t="shared" si="65"/>
        <v>-</v>
      </c>
      <c r="AB87" s="35" t="str">
        <f t="shared" si="52"/>
        <v>-</v>
      </c>
      <c r="AC87" s="36" t="str">
        <f t="shared" si="53"/>
        <v>-</v>
      </c>
      <c r="AD87" s="34" t="str">
        <f t="shared" si="54"/>
        <v>-</v>
      </c>
      <c r="AE87" s="35" t="str">
        <f t="shared" si="66"/>
        <v>-</v>
      </c>
      <c r="AF87" s="35" t="str">
        <f t="shared" si="55"/>
        <v>-</v>
      </c>
      <c r="AG87" s="36" t="str">
        <f t="shared" si="56"/>
        <v>-</v>
      </c>
      <c r="AH87" s="34" t="str">
        <f t="shared" si="57"/>
        <v>-</v>
      </c>
      <c r="AI87" s="35" t="str">
        <f t="shared" si="67"/>
        <v>-</v>
      </c>
      <c r="AJ87" s="35" t="str">
        <f t="shared" si="58"/>
        <v>-</v>
      </c>
      <c r="AK87" s="36" t="str">
        <f t="shared" si="59"/>
        <v>-</v>
      </c>
      <c r="AL87" s="34" t="str">
        <f t="shared" si="68"/>
        <v>-</v>
      </c>
      <c r="AM87" s="35" t="str">
        <f t="shared" si="69"/>
        <v>-</v>
      </c>
      <c r="AN87" s="35" t="str">
        <f t="shared" si="70"/>
        <v>-</v>
      </c>
      <c r="AO87" s="36" t="str">
        <f t="shared" si="71"/>
        <v>-</v>
      </c>
    </row>
    <row r="88" spans="2:41" ht="15" x14ac:dyDescent="0.25">
      <c r="B88" s="415" t="s">
        <v>100</v>
      </c>
      <c r="C88" s="411">
        <v>1.639999999999997</v>
      </c>
      <c r="D88" s="424" t="s">
        <v>122</v>
      </c>
      <c r="F88" s="34" t="str">
        <f t="shared" si="36"/>
        <v>-</v>
      </c>
      <c r="G88" s="35" t="str">
        <f t="shared" si="60"/>
        <v>-</v>
      </c>
      <c r="H88" s="35" t="str">
        <f t="shared" si="37"/>
        <v>-</v>
      </c>
      <c r="I88" s="36" t="str">
        <f t="shared" si="38"/>
        <v>-</v>
      </c>
      <c r="J88" s="34" t="str">
        <f t="shared" si="39"/>
        <v>-</v>
      </c>
      <c r="K88" s="35" t="str">
        <f t="shared" si="61"/>
        <v>-</v>
      </c>
      <c r="L88" s="35" t="str">
        <f t="shared" si="40"/>
        <v>-</v>
      </c>
      <c r="M88" s="36" t="str">
        <f t="shared" si="41"/>
        <v>-</v>
      </c>
      <c r="N88" s="34">
        <f t="shared" si="42"/>
        <v>1</v>
      </c>
      <c r="O88" s="35" t="str">
        <f t="shared" si="62"/>
        <v>-</v>
      </c>
      <c r="P88" s="35" t="str">
        <f t="shared" si="43"/>
        <v>-</v>
      </c>
      <c r="Q88" s="36" t="str">
        <f t="shared" si="44"/>
        <v>-</v>
      </c>
      <c r="R88" s="34" t="str">
        <f t="shared" si="45"/>
        <v>-</v>
      </c>
      <c r="S88" s="35" t="str">
        <f t="shared" si="63"/>
        <v>-</v>
      </c>
      <c r="T88" s="35" t="str">
        <f t="shared" si="46"/>
        <v>-</v>
      </c>
      <c r="U88" s="36" t="str">
        <f t="shared" si="47"/>
        <v>-</v>
      </c>
      <c r="V88" s="34" t="str">
        <f t="shared" si="48"/>
        <v>-</v>
      </c>
      <c r="W88" s="35" t="str">
        <f t="shared" si="64"/>
        <v>-</v>
      </c>
      <c r="X88" s="35" t="str">
        <f t="shared" si="49"/>
        <v>-</v>
      </c>
      <c r="Y88" s="36" t="str">
        <f t="shared" si="50"/>
        <v>-</v>
      </c>
      <c r="Z88" s="34" t="str">
        <f t="shared" si="51"/>
        <v>-</v>
      </c>
      <c r="AA88" s="35" t="str">
        <f t="shared" si="65"/>
        <v>-</v>
      </c>
      <c r="AB88" s="35" t="str">
        <f t="shared" si="52"/>
        <v>-</v>
      </c>
      <c r="AC88" s="36" t="str">
        <f t="shared" si="53"/>
        <v>-</v>
      </c>
      <c r="AD88" s="34" t="str">
        <f t="shared" si="54"/>
        <v>-</v>
      </c>
      <c r="AE88" s="35" t="str">
        <f t="shared" si="66"/>
        <v>-</v>
      </c>
      <c r="AF88" s="35" t="str">
        <f t="shared" si="55"/>
        <v>-</v>
      </c>
      <c r="AG88" s="36" t="str">
        <f t="shared" si="56"/>
        <v>-</v>
      </c>
      <c r="AH88" s="34" t="str">
        <f t="shared" si="57"/>
        <v>-</v>
      </c>
      <c r="AI88" s="35" t="str">
        <f t="shared" si="67"/>
        <v>-</v>
      </c>
      <c r="AJ88" s="35" t="str">
        <f t="shared" si="58"/>
        <v>-</v>
      </c>
      <c r="AK88" s="36" t="str">
        <f t="shared" si="59"/>
        <v>-</v>
      </c>
      <c r="AL88" s="34" t="str">
        <f t="shared" si="68"/>
        <v>-</v>
      </c>
      <c r="AM88" s="35" t="str">
        <f t="shared" si="69"/>
        <v>-</v>
      </c>
      <c r="AN88" s="35" t="str">
        <f t="shared" si="70"/>
        <v>-</v>
      </c>
      <c r="AO88" s="36" t="str">
        <f t="shared" si="71"/>
        <v>-</v>
      </c>
    </row>
    <row r="89" spans="2:41" ht="15" x14ac:dyDescent="0.25">
      <c r="B89" s="429" t="s">
        <v>433</v>
      </c>
      <c r="C89" s="413">
        <v>1.6600000000000001</v>
      </c>
      <c r="D89" s="420" t="s">
        <v>123</v>
      </c>
      <c r="F89" s="34" t="str">
        <f t="shared" si="36"/>
        <v>-</v>
      </c>
      <c r="G89" s="35" t="str">
        <f t="shared" si="60"/>
        <v>-</v>
      </c>
      <c r="H89" s="35" t="str">
        <f t="shared" si="37"/>
        <v>-</v>
      </c>
      <c r="I89" s="36" t="str">
        <f t="shared" si="38"/>
        <v>-</v>
      </c>
      <c r="J89" s="34" t="str">
        <f t="shared" si="39"/>
        <v>-</v>
      </c>
      <c r="K89" s="35" t="str">
        <f t="shared" si="61"/>
        <v>-</v>
      </c>
      <c r="L89" s="35" t="str">
        <f t="shared" si="40"/>
        <v>-</v>
      </c>
      <c r="M89" s="36" t="str">
        <f t="shared" si="41"/>
        <v>-</v>
      </c>
      <c r="N89" s="34" t="str">
        <f t="shared" si="42"/>
        <v>-</v>
      </c>
      <c r="O89" s="35" t="str">
        <f t="shared" si="62"/>
        <v>-</v>
      </c>
      <c r="P89" s="35" t="str">
        <f t="shared" si="43"/>
        <v>-</v>
      </c>
      <c r="Q89" s="36">
        <f t="shared" si="44"/>
        <v>1</v>
      </c>
      <c r="R89" s="34" t="str">
        <f t="shared" si="45"/>
        <v>-</v>
      </c>
      <c r="S89" s="35" t="str">
        <f t="shared" si="63"/>
        <v>-</v>
      </c>
      <c r="T89" s="35" t="str">
        <f t="shared" si="46"/>
        <v>-</v>
      </c>
      <c r="U89" s="36" t="str">
        <f t="shared" si="47"/>
        <v>-</v>
      </c>
      <c r="V89" s="34" t="str">
        <f t="shared" si="48"/>
        <v>-</v>
      </c>
      <c r="W89" s="35" t="str">
        <f t="shared" si="64"/>
        <v>-</v>
      </c>
      <c r="X89" s="35" t="str">
        <f t="shared" si="49"/>
        <v>-</v>
      </c>
      <c r="Y89" s="36" t="str">
        <f t="shared" si="50"/>
        <v>-</v>
      </c>
      <c r="Z89" s="34" t="str">
        <f t="shared" si="51"/>
        <v>-</v>
      </c>
      <c r="AA89" s="35" t="str">
        <f t="shared" si="65"/>
        <v>-</v>
      </c>
      <c r="AB89" s="35" t="str">
        <f t="shared" si="52"/>
        <v>-</v>
      </c>
      <c r="AC89" s="36" t="str">
        <f t="shared" si="53"/>
        <v>-</v>
      </c>
      <c r="AD89" s="34" t="str">
        <f t="shared" si="54"/>
        <v>-</v>
      </c>
      <c r="AE89" s="35" t="str">
        <f t="shared" si="66"/>
        <v>-</v>
      </c>
      <c r="AF89" s="35" t="str">
        <f t="shared" si="55"/>
        <v>-</v>
      </c>
      <c r="AG89" s="36" t="str">
        <f t="shared" si="56"/>
        <v>-</v>
      </c>
      <c r="AH89" s="34" t="str">
        <f t="shared" si="57"/>
        <v>-</v>
      </c>
      <c r="AI89" s="35" t="str">
        <f t="shared" si="67"/>
        <v>-</v>
      </c>
      <c r="AJ89" s="35" t="str">
        <f t="shared" si="58"/>
        <v>-</v>
      </c>
      <c r="AK89" s="36" t="str">
        <f t="shared" si="59"/>
        <v>-</v>
      </c>
      <c r="AL89" s="34" t="str">
        <f t="shared" si="68"/>
        <v>-</v>
      </c>
      <c r="AM89" s="35" t="str">
        <f t="shared" si="69"/>
        <v>-</v>
      </c>
      <c r="AN89" s="35" t="str">
        <f t="shared" si="70"/>
        <v>-</v>
      </c>
      <c r="AO89" s="36" t="str">
        <f t="shared" si="71"/>
        <v>-</v>
      </c>
    </row>
    <row r="90" spans="2:41" ht="15" x14ac:dyDescent="0.25">
      <c r="B90" s="415" t="s">
        <v>101</v>
      </c>
      <c r="C90" s="411">
        <v>1.6799999999999997</v>
      </c>
      <c r="D90" s="424" t="s">
        <v>122</v>
      </c>
      <c r="F90" s="34" t="str">
        <f t="shared" si="36"/>
        <v>-</v>
      </c>
      <c r="G90" s="35" t="str">
        <f t="shared" si="60"/>
        <v>-</v>
      </c>
      <c r="H90" s="35" t="str">
        <f t="shared" si="37"/>
        <v>-</v>
      </c>
      <c r="I90" s="36" t="str">
        <f t="shared" si="38"/>
        <v>-</v>
      </c>
      <c r="J90" s="34" t="str">
        <f t="shared" si="39"/>
        <v>-</v>
      </c>
      <c r="K90" s="35" t="str">
        <f t="shared" si="61"/>
        <v>-</v>
      </c>
      <c r="L90" s="35" t="str">
        <f t="shared" si="40"/>
        <v>-</v>
      </c>
      <c r="M90" s="36" t="str">
        <f t="shared" si="41"/>
        <v>-</v>
      </c>
      <c r="N90" s="34">
        <f t="shared" si="42"/>
        <v>1</v>
      </c>
      <c r="O90" s="35" t="str">
        <f t="shared" si="62"/>
        <v>-</v>
      </c>
      <c r="P90" s="35" t="str">
        <f t="shared" si="43"/>
        <v>-</v>
      </c>
      <c r="Q90" s="36" t="str">
        <f t="shared" si="44"/>
        <v>-</v>
      </c>
      <c r="R90" s="34" t="str">
        <f t="shared" si="45"/>
        <v>-</v>
      </c>
      <c r="S90" s="35" t="str">
        <f t="shared" si="63"/>
        <v>-</v>
      </c>
      <c r="T90" s="35" t="str">
        <f t="shared" si="46"/>
        <v>-</v>
      </c>
      <c r="U90" s="36" t="str">
        <f t="shared" si="47"/>
        <v>-</v>
      </c>
      <c r="V90" s="34" t="str">
        <f t="shared" si="48"/>
        <v>-</v>
      </c>
      <c r="W90" s="35" t="str">
        <f t="shared" si="64"/>
        <v>-</v>
      </c>
      <c r="X90" s="35" t="str">
        <f t="shared" si="49"/>
        <v>-</v>
      </c>
      <c r="Y90" s="36" t="str">
        <f t="shared" si="50"/>
        <v>-</v>
      </c>
      <c r="Z90" s="34" t="str">
        <f t="shared" si="51"/>
        <v>-</v>
      </c>
      <c r="AA90" s="35" t="str">
        <f t="shared" si="65"/>
        <v>-</v>
      </c>
      <c r="AB90" s="35" t="str">
        <f t="shared" si="52"/>
        <v>-</v>
      </c>
      <c r="AC90" s="36" t="str">
        <f t="shared" si="53"/>
        <v>-</v>
      </c>
      <c r="AD90" s="34" t="str">
        <f t="shared" si="54"/>
        <v>-</v>
      </c>
      <c r="AE90" s="35" t="str">
        <f t="shared" si="66"/>
        <v>-</v>
      </c>
      <c r="AF90" s="35" t="str">
        <f t="shared" si="55"/>
        <v>-</v>
      </c>
      <c r="AG90" s="36" t="str">
        <f t="shared" si="56"/>
        <v>-</v>
      </c>
      <c r="AH90" s="34" t="str">
        <f t="shared" si="57"/>
        <v>-</v>
      </c>
      <c r="AI90" s="35" t="str">
        <f t="shared" si="67"/>
        <v>-</v>
      </c>
      <c r="AJ90" s="35" t="str">
        <f t="shared" si="58"/>
        <v>-</v>
      </c>
      <c r="AK90" s="36" t="str">
        <f t="shared" si="59"/>
        <v>-</v>
      </c>
      <c r="AL90" s="34" t="str">
        <f t="shared" si="68"/>
        <v>-</v>
      </c>
      <c r="AM90" s="35" t="str">
        <f t="shared" si="69"/>
        <v>-</v>
      </c>
      <c r="AN90" s="35" t="str">
        <f t="shared" si="70"/>
        <v>-</v>
      </c>
      <c r="AO90" s="36" t="str">
        <f t="shared" si="71"/>
        <v>-</v>
      </c>
    </row>
    <row r="91" spans="2:41" ht="15" x14ac:dyDescent="0.25">
      <c r="B91" s="415" t="s">
        <v>102</v>
      </c>
      <c r="C91" s="411">
        <v>1.7200000000000024</v>
      </c>
      <c r="D91" s="424" t="s">
        <v>122</v>
      </c>
      <c r="F91" s="34" t="str">
        <f t="shared" si="36"/>
        <v>-</v>
      </c>
      <c r="G91" s="35" t="str">
        <f t="shared" si="60"/>
        <v>-</v>
      </c>
      <c r="H91" s="35" t="str">
        <f t="shared" si="37"/>
        <v>-</v>
      </c>
      <c r="I91" s="36" t="str">
        <f t="shared" si="38"/>
        <v>-</v>
      </c>
      <c r="J91" s="34" t="str">
        <f t="shared" si="39"/>
        <v>-</v>
      </c>
      <c r="K91" s="35" t="str">
        <f t="shared" si="61"/>
        <v>-</v>
      </c>
      <c r="L91" s="35" t="str">
        <f t="shared" si="40"/>
        <v>-</v>
      </c>
      <c r="M91" s="36" t="str">
        <f t="shared" si="41"/>
        <v>-</v>
      </c>
      <c r="N91" s="34">
        <f t="shared" si="42"/>
        <v>1</v>
      </c>
      <c r="O91" s="35" t="str">
        <f t="shared" si="62"/>
        <v>-</v>
      </c>
      <c r="P91" s="35" t="str">
        <f t="shared" si="43"/>
        <v>-</v>
      </c>
      <c r="Q91" s="36" t="str">
        <f t="shared" si="44"/>
        <v>-</v>
      </c>
      <c r="R91" s="34" t="str">
        <f t="shared" si="45"/>
        <v>-</v>
      </c>
      <c r="S91" s="35" t="str">
        <f t="shared" si="63"/>
        <v>-</v>
      </c>
      <c r="T91" s="35" t="str">
        <f t="shared" si="46"/>
        <v>-</v>
      </c>
      <c r="U91" s="36" t="str">
        <f t="shared" si="47"/>
        <v>-</v>
      </c>
      <c r="V91" s="34" t="str">
        <f t="shared" si="48"/>
        <v>-</v>
      </c>
      <c r="W91" s="35" t="str">
        <f t="shared" si="64"/>
        <v>-</v>
      </c>
      <c r="X91" s="35" t="str">
        <f t="shared" si="49"/>
        <v>-</v>
      </c>
      <c r="Y91" s="36" t="str">
        <f t="shared" si="50"/>
        <v>-</v>
      </c>
      <c r="Z91" s="34" t="str">
        <f t="shared" si="51"/>
        <v>-</v>
      </c>
      <c r="AA91" s="35" t="str">
        <f t="shared" si="65"/>
        <v>-</v>
      </c>
      <c r="AB91" s="35" t="str">
        <f t="shared" si="52"/>
        <v>-</v>
      </c>
      <c r="AC91" s="36" t="str">
        <f t="shared" si="53"/>
        <v>-</v>
      </c>
      <c r="AD91" s="34" t="str">
        <f t="shared" si="54"/>
        <v>-</v>
      </c>
      <c r="AE91" s="35" t="str">
        <f t="shared" si="66"/>
        <v>-</v>
      </c>
      <c r="AF91" s="35" t="str">
        <f t="shared" si="55"/>
        <v>-</v>
      </c>
      <c r="AG91" s="36" t="str">
        <f t="shared" si="56"/>
        <v>-</v>
      </c>
      <c r="AH91" s="34" t="str">
        <f t="shared" si="57"/>
        <v>-</v>
      </c>
      <c r="AI91" s="35" t="str">
        <f t="shared" si="67"/>
        <v>-</v>
      </c>
      <c r="AJ91" s="35" t="str">
        <f t="shared" si="58"/>
        <v>-</v>
      </c>
      <c r="AK91" s="36" t="str">
        <f t="shared" si="59"/>
        <v>-</v>
      </c>
      <c r="AL91" s="34" t="str">
        <f t="shared" si="68"/>
        <v>-</v>
      </c>
      <c r="AM91" s="35" t="str">
        <f t="shared" si="69"/>
        <v>-</v>
      </c>
      <c r="AN91" s="35" t="str">
        <f t="shared" si="70"/>
        <v>-</v>
      </c>
      <c r="AO91" s="36" t="str">
        <f t="shared" si="71"/>
        <v>-</v>
      </c>
    </row>
    <row r="92" spans="2:41" ht="15" x14ac:dyDescent="0.25">
      <c r="B92" s="415" t="s">
        <v>434</v>
      </c>
      <c r="C92" s="411">
        <v>1.8299999999999983</v>
      </c>
      <c r="D92" s="424" t="s">
        <v>122</v>
      </c>
      <c r="F92" s="34" t="str">
        <f t="shared" si="36"/>
        <v>-</v>
      </c>
      <c r="G92" s="35" t="str">
        <f t="shared" si="60"/>
        <v>-</v>
      </c>
      <c r="H92" s="35" t="str">
        <f t="shared" si="37"/>
        <v>-</v>
      </c>
      <c r="I92" s="36" t="str">
        <f t="shared" si="38"/>
        <v>-</v>
      </c>
      <c r="J92" s="34" t="str">
        <f t="shared" si="39"/>
        <v>-</v>
      </c>
      <c r="K92" s="35" t="str">
        <f t="shared" si="61"/>
        <v>-</v>
      </c>
      <c r="L92" s="35" t="str">
        <f t="shared" si="40"/>
        <v>-</v>
      </c>
      <c r="M92" s="36" t="str">
        <f t="shared" si="41"/>
        <v>-</v>
      </c>
      <c r="N92" s="34" t="str">
        <f t="shared" si="42"/>
        <v>-</v>
      </c>
      <c r="O92" s="35" t="str">
        <f t="shared" si="62"/>
        <v>-</v>
      </c>
      <c r="P92" s="35" t="str">
        <f t="shared" si="43"/>
        <v>-</v>
      </c>
      <c r="Q92" s="36" t="str">
        <f t="shared" si="44"/>
        <v>-</v>
      </c>
      <c r="R92" s="34">
        <f t="shared" si="45"/>
        <v>1</v>
      </c>
      <c r="S92" s="35" t="str">
        <f t="shared" si="63"/>
        <v>-</v>
      </c>
      <c r="T92" s="35" t="str">
        <f t="shared" si="46"/>
        <v>-</v>
      </c>
      <c r="U92" s="36" t="str">
        <f t="shared" si="47"/>
        <v>-</v>
      </c>
      <c r="V92" s="34" t="str">
        <f t="shared" si="48"/>
        <v>-</v>
      </c>
      <c r="W92" s="35" t="str">
        <f t="shared" si="64"/>
        <v>-</v>
      </c>
      <c r="X92" s="35" t="str">
        <f t="shared" si="49"/>
        <v>-</v>
      </c>
      <c r="Y92" s="36" t="str">
        <f t="shared" si="50"/>
        <v>-</v>
      </c>
      <c r="Z92" s="34" t="str">
        <f t="shared" si="51"/>
        <v>-</v>
      </c>
      <c r="AA92" s="35" t="str">
        <f t="shared" si="65"/>
        <v>-</v>
      </c>
      <c r="AB92" s="35" t="str">
        <f t="shared" si="52"/>
        <v>-</v>
      </c>
      <c r="AC92" s="36" t="str">
        <f t="shared" si="53"/>
        <v>-</v>
      </c>
      <c r="AD92" s="34" t="str">
        <f t="shared" si="54"/>
        <v>-</v>
      </c>
      <c r="AE92" s="35" t="str">
        <f t="shared" si="66"/>
        <v>-</v>
      </c>
      <c r="AF92" s="35" t="str">
        <f t="shared" si="55"/>
        <v>-</v>
      </c>
      <c r="AG92" s="36" t="str">
        <f t="shared" si="56"/>
        <v>-</v>
      </c>
      <c r="AH92" s="34" t="str">
        <f t="shared" si="57"/>
        <v>-</v>
      </c>
      <c r="AI92" s="35" t="str">
        <f t="shared" si="67"/>
        <v>-</v>
      </c>
      <c r="AJ92" s="35" t="str">
        <f t="shared" si="58"/>
        <v>-</v>
      </c>
      <c r="AK92" s="36" t="str">
        <f t="shared" si="59"/>
        <v>-</v>
      </c>
      <c r="AL92" s="34" t="str">
        <f t="shared" si="68"/>
        <v>-</v>
      </c>
      <c r="AM92" s="35" t="str">
        <f t="shared" si="69"/>
        <v>-</v>
      </c>
      <c r="AN92" s="35" t="str">
        <f t="shared" si="70"/>
        <v>-</v>
      </c>
      <c r="AO92" s="36" t="str">
        <f t="shared" si="71"/>
        <v>-</v>
      </c>
    </row>
    <row r="93" spans="2:41" ht="15" x14ac:dyDescent="0.25">
      <c r="B93" s="415" t="s">
        <v>103</v>
      </c>
      <c r="C93" s="411">
        <v>2.0200000000000031</v>
      </c>
      <c r="D93" s="424" t="s">
        <v>122</v>
      </c>
      <c r="F93" s="34" t="str">
        <f t="shared" si="36"/>
        <v>-</v>
      </c>
      <c r="G93" s="35" t="str">
        <f t="shared" si="60"/>
        <v>-</v>
      </c>
      <c r="H93" s="35" t="str">
        <f t="shared" si="37"/>
        <v>-</v>
      </c>
      <c r="I93" s="36" t="str">
        <f t="shared" si="38"/>
        <v>-</v>
      </c>
      <c r="J93" s="34" t="str">
        <f t="shared" si="39"/>
        <v>-</v>
      </c>
      <c r="K93" s="35" t="str">
        <f t="shared" si="61"/>
        <v>-</v>
      </c>
      <c r="L93" s="35" t="str">
        <f t="shared" si="40"/>
        <v>-</v>
      </c>
      <c r="M93" s="36" t="str">
        <f t="shared" si="41"/>
        <v>-</v>
      </c>
      <c r="N93" s="34" t="str">
        <f t="shared" si="42"/>
        <v>-</v>
      </c>
      <c r="O93" s="35" t="str">
        <f t="shared" si="62"/>
        <v>-</v>
      </c>
      <c r="P93" s="35" t="str">
        <f t="shared" si="43"/>
        <v>-</v>
      </c>
      <c r="Q93" s="36" t="str">
        <f t="shared" si="44"/>
        <v>-</v>
      </c>
      <c r="R93" s="34" t="str">
        <f t="shared" si="45"/>
        <v>-</v>
      </c>
      <c r="S93" s="35" t="str">
        <f t="shared" si="63"/>
        <v>-</v>
      </c>
      <c r="T93" s="35" t="str">
        <f t="shared" si="46"/>
        <v>-</v>
      </c>
      <c r="U93" s="36" t="str">
        <f t="shared" si="47"/>
        <v>-</v>
      </c>
      <c r="V93" s="34">
        <f t="shared" si="48"/>
        <v>1</v>
      </c>
      <c r="W93" s="35" t="str">
        <f t="shared" si="64"/>
        <v>-</v>
      </c>
      <c r="X93" s="35" t="str">
        <f t="shared" si="49"/>
        <v>-</v>
      </c>
      <c r="Y93" s="36" t="str">
        <f t="shared" si="50"/>
        <v>-</v>
      </c>
      <c r="Z93" s="34" t="str">
        <f t="shared" si="51"/>
        <v>-</v>
      </c>
      <c r="AA93" s="35" t="str">
        <f t="shared" si="65"/>
        <v>-</v>
      </c>
      <c r="AB93" s="35" t="str">
        <f t="shared" si="52"/>
        <v>-</v>
      </c>
      <c r="AC93" s="36" t="str">
        <f t="shared" si="53"/>
        <v>-</v>
      </c>
      <c r="AD93" s="34" t="str">
        <f t="shared" si="54"/>
        <v>-</v>
      </c>
      <c r="AE93" s="35" t="str">
        <f t="shared" si="66"/>
        <v>-</v>
      </c>
      <c r="AF93" s="35" t="str">
        <f t="shared" si="55"/>
        <v>-</v>
      </c>
      <c r="AG93" s="36" t="str">
        <f t="shared" si="56"/>
        <v>-</v>
      </c>
      <c r="AH93" s="34" t="str">
        <f t="shared" si="57"/>
        <v>-</v>
      </c>
      <c r="AI93" s="35" t="str">
        <f t="shared" si="67"/>
        <v>-</v>
      </c>
      <c r="AJ93" s="35" t="str">
        <f t="shared" si="58"/>
        <v>-</v>
      </c>
      <c r="AK93" s="36" t="str">
        <f t="shared" si="59"/>
        <v>-</v>
      </c>
      <c r="AL93" s="34" t="str">
        <f t="shared" si="68"/>
        <v>-</v>
      </c>
      <c r="AM93" s="35" t="str">
        <f t="shared" si="69"/>
        <v>-</v>
      </c>
      <c r="AN93" s="35" t="str">
        <f t="shared" si="70"/>
        <v>-</v>
      </c>
      <c r="AO93" s="36" t="str">
        <f t="shared" si="71"/>
        <v>-</v>
      </c>
    </row>
    <row r="94" spans="2:41" ht="15" x14ac:dyDescent="0.25">
      <c r="B94" s="428" t="s">
        <v>104</v>
      </c>
      <c r="C94" s="414">
        <v>1.2000000000000028</v>
      </c>
      <c r="D94" s="424" t="s">
        <v>122</v>
      </c>
      <c r="F94" s="34">
        <f t="shared" si="36"/>
        <v>1</v>
      </c>
      <c r="G94" s="35" t="str">
        <f t="shared" si="60"/>
        <v>-</v>
      </c>
      <c r="H94" s="35" t="str">
        <f t="shared" si="37"/>
        <v>-</v>
      </c>
      <c r="I94" s="36" t="str">
        <f t="shared" si="38"/>
        <v>-</v>
      </c>
      <c r="J94" s="34" t="str">
        <f t="shared" si="39"/>
        <v>-</v>
      </c>
      <c r="K94" s="35" t="str">
        <f t="shared" si="61"/>
        <v>-</v>
      </c>
      <c r="L94" s="35" t="str">
        <f t="shared" si="40"/>
        <v>-</v>
      </c>
      <c r="M94" s="36" t="str">
        <f t="shared" si="41"/>
        <v>-</v>
      </c>
      <c r="N94" s="34" t="str">
        <f t="shared" si="42"/>
        <v>-</v>
      </c>
      <c r="O94" s="35" t="str">
        <f t="shared" si="62"/>
        <v>-</v>
      </c>
      <c r="P94" s="35" t="str">
        <f t="shared" si="43"/>
        <v>-</v>
      </c>
      <c r="Q94" s="36" t="str">
        <f t="shared" si="44"/>
        <v>-</v>
      </c>
      <c r="R94" s="34" t="str">
        <f t="shared" si="45"/>
        <v>-</v>
      </c>
      <c r="S94" s="35" t="str">
        <f t="shared" si="63"/>
        <v>-</v>
      </c>
      <c r="T94" s="35" t="str">
        <f t="shared" si="46"/>
        <v>-</v>
      </c>
      <c r="U94" s="36" t="str">
        <f t="shared" si="47"/>
        <v>-</v>
      </c>
      <c r="V94" s="34" t="str">
        <f t="shared" si="48"/>
        <v>-</v>
      </c>
      <c r="W94" s="35" t="str">
        <f t="shared" si="64"/>
        <v>-</v>
      </c>
      <c r="X94" s="35" t="str">
        <f t="shared" si="49"/>
        <v>-</v>
      </c>
      <c r="Y94" s="36" t="str">
        <f t="shared" si="50"/>
        <v>-</v>
      </c>
      <c r="Z94" s="34" t="str">
        <f t="shared" si="51"/>
        <v>-</v>
      </c>
      <c r="AA94" s="35" t="str">
        <f t="shared" si="65"/>
        <v>-</v>
      </c>
      <c r="AB94" s="35" t="str">
        <f t="shared" si="52"/>
        <v>-</v>
      </c>
      <c r="AC94" s="36" t="str">
        <f t="shared" si="53"/>
        <v>-</v>
      </c>
      <c r="AD94" s="34" t="str">
        <f t="shared" si="54"/>
        <v>-</v>
      </c>
      <c r="AE94" s="35" t="str">
        <f t="shared" si="66"/>
        <v>-</v>
      </c>
      <c r="AF94" s="35" t="str">
        <f t="shared" si="55"/>
        <v>-</v>
      </c>
      <c r="AG94" s="36" t="str">
        <f t="shared" si="56"/>
        <v>-</v>
      </c>
      <c r="AH94" s="34" t="str">
        <f t="shared" si="57"/>
        <v>-</v>
      </c>
      <c r="AI94" s="35" t="str">
        <f t="shared" si="67"/>
        <v>-</v>
      </c>
      <c r="AJ94" s="35" t="str">
        <f t="shared" si="58"/>
        <v>-</v>
      </c>
      <c r="AK94" s="36" t="str">
        <f t="shared" si="59"/>
        <v>-</v>
      </c>
      <c r="AL94" s="34" t="str">
        <f t="shared" si="68"/>
        <v>-</v>
      </c>
      <c r="AM94" s="35" t="str">
        <f t="shared" si="69"/>
        <v>-</v>
      </c>
      <c r="AN94" s="35" t="str">
        <f t="shared" si="70"/>
        <v>-</v>
      </c>
      <c r="AO94" s="36" t="str">
        <f t="shared" si="71"/>
        <v>-</v>
      </c>
    </row>
    <row r="95" spans="2:41" ht="15" x14ac:dyDescent="0.25">
      <c r="B95" s="415" t="s">
        <v>105</v>
      </c>
      <c r="C95" s="411">
        <v>1.6500000000000021</v>
      </c>
      <c r="D95" s="424" t="s">
        <v>122</v>
      </c>
      <c r="F95" s="34" t="str">
        <f t="shared" si="36"/>
        <v>-</v>
      </c>
      <c r="G95" s="35" t="str">
        <f t="shared" si="60"/>
        <v>-</v>
      </c>
      <c r="H95" s="35" t="str">
        <f t="shared" si="37"/>
        <v>-</v>
      </c>
      <c r="I95" s="36" t="str">
        <f t="shared" si="38"/>
        <v>-</v>
      </c>
      <c r="J95" s="34" t="str">
        <f t="shared" si="39"/>
        <v>-</v>
      </c>
      <c r="K95" s="35" t="str">
        <f t="shared" si="61"/>
        <v>-</v>
      </c>
      <c r="L95" s="35" t="str">
        <f t="shared" si="40"/>
        <v>-</v>
      </c>
      <c r="M95" s="36" t="str">
        <f t="shared" si="41"/>
        <v>-</v>
      </c>
      <c r="N95" s="34">
        <f t="shared" si="42"/>
        <v>1</v>
      </c>
      <c r="O95" s="35" t="str">
        <f t="shared" si="62"/>
        <v>-</v>
      </c>
      <c r="P95" s="35" t="str">
        <f t="shared" si="43"/>
        <v>-</v>
      </c>
      <c r="Q95" s="36" t="str">
        <f t="shared" si="44"/>
        <v>-</v>
      </c>
      <c r="R95" s="34" t="str">
        <f t="shared" si="45"/>
        <v>-</v>
      </c>
      <c r="S95" s="35" t="str">
        <f t="shared" si="63"/>
        <v>-</v>
      </c>
      <c r="T95" s="35" t="str">
        <f t="shared" si="46"/>
        <v>-</v>
      </c>
      <c r="U95" s="36" t="str">
        <f t="shared" si="47"/>
        <v>-</v>
      </c>
      <c r="V95" s="34" t="str">
        <f t="shared" si="48"/>
        <v>-</v>
      </c>
      <c r="W95" s="35" t="str">
        <f t="shared" si="64"/>
        <v>-</v>
      </c>
      <c r="X95" s="35" t="str">
        <f t="shared" si="49"/>
        <v>-</v>
      </c>
      <c r="Y95" s="36" t="str">
        <f t="shared" si="50"/>
        <v>-</v>
      </c>
      <c r="Z95" s="34" t="str">
        <f t="shared" si="51"/>
        <v>-</v>
      </c>
      <c r="AA95" s="35" t="str">
        <f t="shared" si="65"/>
        <v>-</v>
      </c>
      <c r="AB95" s="35" t="str">
        <f t="shared" si="52"/>
        <v>-</v>
      </c>
      <c r="AC95" s="36" t="str">
        <f t="shared" si="53"/>
        <v>-</v>
      </c>
      <c r="AD95" s="34" t="str">
        <f t="shared" si="54"/>
        <v>-</v>
      </c>
      <c r="AE95" s="35" t="str">
        <f t="shared" si="66"/>
        <v>-</v>
      </c>
      <c r="AF95" s="35" t="str">
        <f t="shared" si="55"/>
        <v>-</v>
      </c>
      <c r="AG95" s="36" t="str">
        <f t="shared" si="56"/>
        <v>-</v>
      </c>
      <c r="AH95" s="34" t="str">
        <f t="shared" si="57"/>
        <v>-</v>
      </c>
      <c r="AI95" s="35" t="str">
        <f t="shared" si="67"/>
        <v>-</v>
      </c>
      <c r="AJ95" s="35" t="str">
        <f t="shared" si="58"/>
        <v>-</v>
      </c>
      <c r="AK95" s="36" t="str">
        <f t="shared" si="59"/>
        <v>-</v>
      </c>
      <c r="AL95" s="34" t="str">
        <f t="shared" si="68"/>
        <v>-</v>
      </c>
      <c r="AM95" s="35" t="str">
        <f t="shared" si="69"/>
        <v>-</v>
      </c>
      <c r="AN95" s="35" t="str">
        <f t="shared" si="70"/>
        <v>-</v>
      </c>
      <c r="AO95" s="36" t="str">
        <f t="shared" si="71"/>
        <v>-</v>
      </c>
    </row>
    <row r="96" spans="2:41" ht="15" x14ac:dyDescent="0.25">
      <c r="B96" s="415" t="s">
        <v>435</v>
      </c>
      <c r="C96" s="411">
        <v>1.1999999999999993</v>
      </c>
      <c r="D96" s="424" t="s">
        <v>122</v>
      </c>
      <c r="F96" s="34">
        <f t="shared" si="36"/>
        <v>1</v>
      </c>
      <c r="G96" s="35" t="str">
        <f t="shared" si="60"/>
        <v>-</v>
      </c>
      <c r="H96" s="35" t="str">
        <f t="shared" si="37"/>
        <v>-</v>
      </c>
      <c r="I96" s="36" t="str">
        <f t="shared" si="38"/>
        <v>-</v>
      </c>
      <c r="J96" s="34" t="str">
        <f t="shared" si="39"/>
        <v>-</v>
      </c>
      <c r="K96" s="35" t="str">
        <f t="shared" si="61"/>
        <v>-</v>
      </c>
      <c r="L96" s="35" t="str">
        <f t="shared" si="40"/>
        <v>-</v>
      </c>
      <c r="M96" s="36" t="str">
        <f t="shared" si="41"/>
        <v>-</v>
      </c>
      <c r="N96" s="34" t="str">
        <f t="shared" si="42"/>
        <v>-</v>
      </c>
      <c r="O96" s="35" t="str">
        <f t="shared" si="62"/>
        <v>-</v>
      </c>
      <c r="P96" s="35" t="str">
        <f t="shared" si="43"/>
        <v>-</v>
      </c>
      <c r="Q96" s="36" t="str">
        <f t="shared" si="44"/>
        <v>-</v>
      </c>
      <c r="R96" s="34" t="str">
        <f t="shared" si="45"/>
        <v>-</v>
      </c>
      <c r="S96" s="35" t="str">
        <f t="shared" si="63"/>
        <v>-</v>
      </c>
      <c r="T96" s="35" t="str">
        <f t="shared" si="46"/>
        <v>-</v>
      </c>
      <c r="U96" s="36" t="str">
        <f t="shared" si="47"/>
        <v>-</v>
      </c>
      <c r="V96" s="34" t="str">
        <f t="shared" si="48"/>
        <v>-</v>
      </c>
      <c r="W96" s="35" t="str">
        <f t="shared" si="64"/>
        <v>-</v>
      </c>
      <c r="X96" s="35" t="str">
        <f t="shared" si="49"/>
        <v>-</v>
      </c>
      <c r="Y96" s="36" t="str">
        <f t="shared" si="50"/>
        <v>-</v>
      </c>
      <c r="Z96" s="34" t="str">
        <f t="shared" si="51"/>
        <v>-</v>
      </c>
      <c r="AA96" s="35" t="str">
        <f t="shared" si="65"/>
        <v>-</v>
      </c>
      <c r="AB96" s="35" t="str">
        <f t="shared" si="52"/>
        <v>-</v>
      </c>
      <c r="AC96" s="36" t="str">
        <f t="shared" si="53"/>
        <v>-</v>
      </c>
      <c r="AD96" s="34" t="str">
        <f t="shared" si="54"/>
        <v>-</v>
      </c>
      <c r="AE96" s="35" t="str">
        <f t="shared" si="66"/>
        <v>-</v>
      </c>
      <c r="AF96" s="35" t="str">
        <f t="shared" si="55"/>
        <v>-</v>
      </c>
      <c r="AG96" s="36" t="str">
        <f t="shared" si="56"/>
        <v>-</v>
      </c>
      <c r="AH96" s="34" t="str">
        <f t="shared" si="57"/>
        <v>-</v>
      </c>
      <c r="AI96" s="35" t="str">
        <f t="shared" si="67"/>
        <v>-</v>
      </c>
      <c r="AJ96" s="35" t="str">
        <f t="shared" si="58"/>
        <v>-</v>
      </c>
      <c r="AK96" s="36" t="str">
        <f t="shared" si="59"/>
        <v>-</v>
      </c>
      <c r="AL96" s="34" t="str">
        <f t="shared" si="68"/>
        <v>-</v>
      </c>
      <c r="AM96" s="35" t="str">
        <f t="shared" si="69"/>
        <v>-</v>
      </c>
      <c r="AN96" s="35" t="str">
        <f t="shared" si="70"/>
        <v>-</v>
      </c>
      <c r="AO96" s="36" t="str">
        <f t="shared" si="71"/>
        <v>-</v>
      </c>
    </row>
    <row r="97" spans="2:42" ht="15" x14ac:dyDescent="0.25">
      <c r="B97" s="429" t="s">
        <v>115</v>
      </c>
      <c r="C97" s="413">
        <v>1.1999999999999957</v>
      </c>
      <c r="D97" s="420" t="s">
        <v>123</v>
      </c>
      <c r="F97" s="34" t="str">
        <f t="shared" si="36"/>
        <v>-</v>
      </c>
      <c r="G97" s="35" t="str">
        <f t="shared" si="60"/>
        <v>-</v>
      </c>
      <c r="H97" s="35" t="str">
        <f t="shared" si="37"/>
        <v>-</v>
      </c>
      <c r="I97" s="36">
        <f t="shared" si="38"/>
        <v>1</v>
      </c>
      <c r="J97" s="34" t="str">
        <f t="shared" si="39"/>
        <v>-</v>
      </c>
      <c r="K97" s="35" t="str">
        <f t="shared" si="61"/>
        <v>-</v>
      </c>
      <c r="L97" s="35" t="str">
        <f t="shared" si="40"/>
        <v>-</v>
      </c>
      <c r="M97" s="36" t="str">
        <f t="shared" si="41"/>
        <v>-</v>
      </c>
      <c r="N97" s="34" t="str">
        <f t="shared" si="42"/>
        <v>-</v>
      </c>
      <c r="O97" s="35" t="str">
        <f t="shared" si="62"/>
        <v>-</v>
      </c>
      <c r="P97" s="35" t="str">
        <f t="shared" si="43"/>
        <v>-</v>
      </c>
      <c r="Q97" s="36" t="str">
        <f t="shared" si="44"/>
        <v>-</v>
      </c>
      <c r="R97" s="34" t="str">
        <f t="shared" si="45"/>
        <v>-</v>
      </c>
      <c r="S97" s="35" t="str">
        <f t="shared" si="63"/>
        <v>-</v>
      </c>
      <c r="T97" s="35" t="str">
        <f t="shared" si="46"/>
        <v>-</v>
      </c>
      <c r="U97" s="36" t="str">
        <f t="shared" si="47"/>
        <v>-</v>
      </c>
      <c r="V97" s="34" t="str">
        <f t="shared" si="48"/>
        <v>-</v>
      </c>
      <c r="W97" s="35" t="str">
        <f t="shared" si="64"/>
        <v>-</v>
      </c>
      <c r="X97" s="35" t="str">
        <f t="shared" si="49"/>
        <v>-</v>
      </c>
      <c r="Y97" s="36" t="str">
        <f t="shared" si="50"/>
        <v>-</v>
      </c>
      <c r="Z97" s="34" t="str">
        <f t="shared" si="51"/>
        <v>-</v>
      </c>
      <c r="AA97" s="35" t="str">
        <f t="shared" si="65"/>
        <v>-</v>
      </c>
      <c r="AB97" s="35" t="str">
        <f t="shared" si="52"/>
        <v>-</v>
      </c>
      <c r="AC97" s="36" t="str">
        <f t="shared" si="53"/>
        <v>-</v>
      </c>
      <c r="AD97" s="34" t="str">
        <f t="shared" si="54"/>
        <v>-</v>
      </c>
      <c r="AE97" s="35" t="str">
        <f t="shared" si="66"/>
        <v>-</v>
      </c>
      <c r="AF97" s="35" t="str">
        <f t="shared" si="55"/>
        <v>-</v>
      </c>
      <c r="AG97" s="36" t="str">
        <f t="shared" si="56"/>
        <v>-</v>
      </c>
      <c r="AH97" s="34" t="str">
        <f t="shared" si="57"/>
        <v>-</v>
      </c>
      <c r="AI97" s="35" t="str">
        <f t="shared" si="67"/>
        <v>-</v>
      </c>
      <c r="AJ97" s="35" t="str">
        <f t="shared" si="58"/>
        <v>-</v>
      </c>
      <c r="AK97" s="36" t="str">
        <f t="shared" si="59"/>
        <v>-</v>
      </c>
      <c r="AL97" s="34" t="str">
        <f t="shared" si="68"/>
        <v>-</v>
      </c>
      <c r="AM97" s="35" t="str">
        <f t="shared" si="69"/>
        <v>-</v>
      </c>
      <c r="AN97" s="35" t="str">
        <f t="shared" si="70"/>
        <v>-</v>
      </c>
      <c r="AO97" s="36" t="str">
        <f t="shared" si="71"/>
        <v>-</v>
      </c>
    </row>
    <row r="98" spans="2:42" ht="15" x14ac:dyDescent="0.25">
      <c r="B98" s="427" t="s">
        <v>115</v>
      </c>
      <c r="C98" s="412">
        <v>1.2</v>
      </c>
      <c r="D98" s="423" t="s">
        <v>127</v>
      </c>
      <c r="F98" s="34" t="str">
        <f t="shared" si="36"/>
        <v>-</v>
      </c>
      <c r="G98" s="35">
        <f t="shared" si="60"/>
        <v>1</v>
      </c>
      <c r="H98" s="35" t="str">
        <f t="shared" si="37"/>
        <v>-</v>
      </c>
      <c r="I98" s="36" t="str">
        <f t="shared" si="38"/>
        <v>-</v>
      </c>
      <c r="J98" s="34" t="str">
        <f t="shared" si="39"/>
        <v>-</v>
      </c>
      <c r="K98" s="35" t="str">
        <f t="shared" si="61"/>
        <v>-</v>
      </c>
      <c r="L98" s="35" t="str">
        <f t="shared" si="40"/>
        <v>-</v>
      </c>
      <c r="M98" s="36" t="str">
        <f t="shared" si="41"/>
        <v>-</v>
      </c>
      <c r="N98" s="34" t="str">
        <f t="shared" si="42"/>
        <v>-</v>
      </c>
      <c r="O98" s="35" t="str">
        <f t="shared" si="62"/>
        <v>-</v>
      </c>
      <c r="P98" s="35" t="str">
        <f t="shared" si="43"/>
        <v>-</v>
      </c>
      <c r="Q98" s="36" t="str">
        <f t="shared" si="44"/>
        <v>-</v>
      </c>
      <c r="R98" s="34" t="str">
        <f t="shared" si="45"/>
        <v>-</v>
      </c>
      <c r="S98" s="35" t="str">
        <f t="shared" si="63"/>
        <v>-</v>
      </c>
      <c r="T98" s="35" t="str">
        <f t="shared" si="46"/>
        <v>-</v>
      </c>
      <c r="U98" s="36" t="str">
        <f t="shared" si="47"/>
        <v>-</v>
      </c>
      <c r="V98" s="34" t="str">
        <f t="shared" si="48"/>
        <v>-</v>
      </c>
      <c r="W98" s="35" t="str">
        <f t="shared" si="64"/>
        <v>-</v>
      </c>
      <c r="X98" s="35" t="str">
        <f t="shared" si="49"/>
        <v>-</v>
      </c>
      <c r="Y98" s="36" t="str">
        <f t="shared" si="50"/>
        <v>-</v>
      </c>
      <c r="Z98" s="34" t="str">
        <f t="shared" si="51"/>
        <v>-</v>
      </c>
      <c r="AA98" s="35" t="str">
        <f t="shared" si="65"/>
        <v>-</v>
      </c>
      <c r="AB98" s="35" t="str">
        <f t="shared" si="52"/>
        <v>-</v>
      </c>
      <c r="AC98" s="36" t="str">
        <f t="shared" si="53"/>
        <v>-</v>
      </c>
      <c r="AD98" s="34" t="str">
        <f t="shared" si="54"/>
        <v>-</v>
      </c>
      <c r="AE98" s="35" t="str">
        <f t="shared" si="66"/>
        <v>-</v>
      </c>
      <c r="AF98" s="35" t="str">
        <f t="shared" si="55"/>
        <v>-</v>
      </c>
      <c r="AG98" s="36" t="str">
        <f t="shared" si="56"/>
        <v>-</v>
      </c>
      <c r="AH98" s="34" t="str">
        <f t="shared" si="57"/>
        <v>-</v>
      </c>
      <c r="AI98" s="35" t="str">
        <f t="shared" si="67"/>
        <v>-</v>
      </c>
      <c r="AJ98" s="35" t="str">
        <f t="shared" si="58"/>
        <v>-</v>
      </c>
      <c r="AK98" s="36" t="str">
        <f t="shared" si="59"/>
        <v>-</v>
      </c>
      <c r="AL98" s="34" t="str">
        <f t="shared" si="68"/>
        <v>-</v>
      </c>
      <c r="AM98" s="35" t="str">
        <f t="shared" si="69"/>
        <v>-</v>
      </c>
      <c r="AN98" s="35" t="str">
        <f t="shared" si="70"/>
        <v>-</v>
      </c>
      <c r="AO98" s="36" t="str">
        <f t="shared" si="71"/>
        <v>-</v>
      </c>
    </row>
    <row r="99" spans="2:42" ht="15" x14ac:dyDescent="0.25">
      <c r="B99" s="415" t="s">
        <v>116</v>
      </c>
      <c r="C99" s="411">
        <v>1.6299999999999955</v>
      </c>
      <c r="D99" s="424" t="s">
        <v>122</v>
      </c>
      <c r="F99" s="34" t="str">
        <f t="shared" si="36"/>
        <v>-</v>
      </c>
      <c r="G99" s="35" t="str">
        <f t="shared" si="60"/>
        <v>-</v>
      </c>
      <c r="H99" s="35" t="str">
        <f t="shared" si="37"/>
        <v>-</v>
      </c>
      <c r="I99" s="36" t="str">
        <f t="shared" si="38"/>
        <v>-</v>
      </c>
      <c r="J99" s="34" t="str">
        <f t="shared" si="39"/>
        <v>-</v>
      </c>
      <c r="K99" s="35" t="str">
        <f t="shared" si="61"/>
        <v>-</v>
      </c>
      <c r="L99" s="35" t="str">
        <f t="shared" si="40"/>
        <v>-</v>
      </c>
      <c r="M99" s="36" t="str">
        <f t="shared" si="41"/>
        <v>-</v>
      </c>
      <c r="N99" s="34">
        <f t="shared" si="42"/>
        <v>1</v>
      </c>
      <c r="O99" s="35" t="str">
        <f t="shared" si="62"/>
        <v>-</v>
      </c>
      <c r="P99" s="35" t="str">
        <f t="shared" si="43"/>
        <v>-</v>
      </c>
      <c r="Q99" s="36" t="str">
        <f t="shared" si="44"/>
        <v>-</v>
      </c>
      <c r="R99" s="34" t="str">
        <f t="shared" si="45"/>
        <v>-</v>
      </c>
      <c r="S99" s="35" t="str">
        <f t="shared" si="63"/>
        <v>-</v>
      </c>
      <c r="T99" s="35" t="str">
        <f t="shared" si="46"/>
        <v>-</v>
      </c>
      <c r="U99" s="36" t="str">
        <f t="shared" si="47"/>
        <v>-</v>
      </c>
      <c r="V99" s="34" t="str">
        <f t="shared" si="48"/>
        <v>-</v>
      </c>
      <c r="W99" s="35" t="str">
        <f t="shared" si="64"/>
        <v>-</v>
      </c>
      <c r="X99" s="35" t="str">
        <f t="shared" si="49"/>
        <v>-</v>
      </c>
      <c r="Y99" s="36" t="str">
        <f t="shared" si="50"/>
        <v>-</v>
      </c>
      <c r="Z99" s="34" t="str">
        <f t="shared" si="51"/>
        <v>-</v>
      </c>
      <c r="AA99" s="35" t="str">
        <f t="shared" si="65"/>
        <v>-</v>
      </c>
      <c r="AB99" s="35" t="str">
        <f t="shared" si="52"/>
        <v>-</v>
      </c>
      <c r="AC99" s="36" t="str">
        <f t="shared" si="53"/>
        <v>-</v>
      </c>
      <c r="AD99" s="34" t="str">
        <f t="shared" si="54"/>
        <v>-</v>
      </c>
      <c r="AE99" s="35" t="str">
        <f t="shared" si="66"/>
        <v>-</v>
      </c>
      <c r="AF99" s="35" t="str">
        <f t="shared" si="55"/>
        <v>-</v>
      </c>
      <c r="AG99" s="36" t="str">
        <f t="shared" si="56"/>
        <v>-</v>
      </c>
      <c r="AH99" s="34" t="str">
        <f t="shared" si="57"/>
        <v>-</v>
      </c>
      <c r="AI99" s="35" t="str">
        <f t="shared" si="67"/>
        <v>-</v>
      </c>
      <c r="AJ99" s="35" t="str">
        <f t="shared" si="58"/>
        <v>-</v>
      </c>
      <c r="AK99" s="36" t="str">
        <f t="shared" si="59"/>
        <v>-</v>
      </c>
      <c r="AL99" s="34" t="str">
        <f t="shared" si="68"/>
        <v>-</v>
      </c>
      <c r="AM99" s="35" t="str">
        <f t="shared" si="69"/>
        <v>-</v>
      </c>
      <c r="AN99" s="35" t="str">
        <f t="shared" si="70"/>
        <v>-</v>
      </c>
      <c r="AO99" s="36" t="str">
        <f t="shared" si="71"/>
        <v>-</v>
      </c>
    </row>
    <row r="100" spans="2:42" ht="15" x14ac:dyDescent="0.25">
      <c r="B100" s="428" t="s">
        <v>117</v>
      </c>
      <c r="C100" s="414">
        <v>1.740000000000002</v>
      </c>
      <c r="D100" s="424" t="s">
        <v>122</v>
      </c>
      <c r="F100" s="34" t="str">
        <f t="shared" si="36"/>
        <v>-</v>
      </c>
      <c r="G100" s="35" t="str">
        <f t="shared" si="60"/>
        <v>-</v>
      </c>
      <c r="H100" s="35" t="str">
        <f t="shared" si="37"/>
        <v>-</v>
      </c>
      <c r="I100" s="36" t="str">
        <f t="shared" si="38"/>
        <v>-</v>
      </c>
      <c r="J100" s="34" t="str">
        <f t="shared" si="39"/>
        <v>-</v>
      </c>
      <c r="K100" s="35" t="str">
        <f t="shared" si="61"/>
        <v>-</v>
      </c>
      <c r="L100" s="35" t="str">
        <f t="shared" si="40"/>
        <v>-</v>
      </c>
      <c r="M100" s="36" t="str">
        <f t="shared" si="41"/>
        <v>-</v>
      </c>
      <c r="N100" s="34">
        <f t="shared" si="42"/>
        <v>1</v>
      </c>
      <c r="O100" s="35" t="str">
        <f t="shared" si="62"/>
        <v>-</v>
      </c>
      <c r="P100" s="35" t="str">
        <f t="shared" si="43"/>
        <v>-</v>
      </c>
      <c r="Q100" s="36" t="str">
        <f t="shared" si="44"/>
        <v>-</v>
      </c>
      <c r="R100" s="34" t="str">
        <f t="shared" si="45"/>
        <v>-</v>
      </c>
      <c r="S100" s="35" t="str">
        <f t="shared" si="63"/>
        <v>-</v>
      </c>
      <c r="T100" s="35" t="str">
        <f t="shared" si="46"/>
        <v>-</v>
      </c>
      <c r="U100" s="36" t="str">
        <f t="shared" si="47"/>
        <v>-</v>
      </c>
      <c r="V100" s="34" t="str">
        <f t="shared" si="48"/>
        <v>-</v>
      </c>
      <c r="W100" s="35" t="str">
        <f t="shared" si="64"/>
        <v>-</v>
      </c>
      <c r="X100" s="35" t="str">
        <f t="shared" si="49"/>
        <v>-</v>
      </c>
      <c r="Y100" s="36" t="str">
        <f t="shared" si="50"/>
        <v>-</v>
      </c>
      <c r="Z100" s="34" t="str">
        <f t="shared" si="51"/>
        <v>-</v>
      </c>
      <c r="AA100" s="35" t="str">
        <f t="shared" si="65"/>
        <v>-</v>
      </c>
      <c r="AB100" s="35" t="str">
        <f t="shared" si="52"/>
        <v>-</v>
      </c>
      <c r="AC100" s="36" t="str">
        <f t="shared" si="53"/>
        <v>-</v>
      </c>
      <c r="AD100" s="34" t="str">
        <f t="shared" si="54"/>
        <v>-</v>
      </c>
      <c r="AE100" s="35" t="str">
        <f t="shared" si="66"/>
        <v>-</v>
      </c>
      <c r="AF100" s="35" t="str">
        <f t="shared" si="55"/>
        <v>-</v>
      </c>
      <c r="AG100" s="36" t="str">
        <f t="shared" si="56"/>
        <v>-</v>
      </c>
      <c r="AH100" s="34" t="str">
        <f t="shared" si="57"/>
        <v>-</v>
      </c>
      <c r="AI100" s="35" t="str">
        <f t="shared" si="67"/>
        <v>-</v>
      </c>
      <c r="AJ100" s="35" t="str">
        <f t="shared" si="58"/>
        <v>-</v>
      </c>
      <c r="AK100" s="36" t="str">
        <f t="shared" si="59"/>
        <v>-</v>
      </c>
      <c r="AL100" s="34" t="str">
        <f t="shared" si="68"/>
        <v>-</v>
      </c>
      <c r="AM100" s="35" t="str">
        <f t="shared" si="69"/>
        <v>-</v>
      </c>
      <c r="AN100" s="35" t="str">
        <f t="shared" si="70"/>
        <v>-</v>
      </c>
      <c r="AO100" s="36" t="str">
        <f t="shared" si="71"/>
        <v>-</v>
      </c>
    </row>
    <row r="101" spans="2:42" ht="15" x14ac:dyDescent="0.25">
      <c r="B101" s="427" t="s">
        <v>436</v>
      </c>
      <c r="C101" s="412">
        <v>1.84</v>
      </c>
      <c r="D101" s="423" t="s">
        <v>127</v>
      </c>
      <c r="F101" s="34" t="str">
        <f t="shared" si="36"/>
        <v>-</v>
      </c>
      <c r="G101" s="35" t="str">
        <f t="shared" si="60"/>
        <v>-</v>
      </c>
      <c r="H101" s="35" t="str">
        <f t="shared" si="37"/>
        <v>-</v>
      </c>
      <c r="I101" s="36" t="str">
        <f t="shared" si="38"/>
        <v>-</v>
      </c>
      <c r="J101" s="34" t="str">
        <f t="shared" si="39"/>
        <v>-</v>
      </c>
      <c r="K101" s="35" t="str">
        <f t="shared" si="61"/>
        <v>-</v>
      </c>
      <c r="L101" s="35" t="str">
        <f t="shared" si="40"/>
        <v>-</v>
      </c>
      <c r="M101" s="36" t="str">
        <f t="shared" si="41"/>
        <v>-</v>
      </c>
      <c r="N101" s="34" t="str">
        <f t="shared" si="42"/>
        <v>-</v>
      </c>
      <c r="O101" s="35" t="str">
        <f t="shared" si="62"/>
        <v>-</v>
      </c>
      <c r="P101" s="35" t="str">
        <f t="shared" si="43"/>
        <v>-</v>
      </c>
      <c r="Q101" s="36" t="str">
        <f t="shared" si="44"/>
        <v>-</v>
      </c>
      <c r="R101" s="34" t="str">
        <f t="shared" si="45"/>
        <v>-</v>
      </c>
      <c r="S101" s="35">
        <f t="shared" si="63"/>
        <v>1</v>
      </c>
      <c r="T101" s="35" t="str">
        <f t="shared" si="46"/>
        <v>-</v>
      </c>
      <c r="U101" s="36" t="str">
        <f t="shared" si="47"/>
        <v>-</v>
      </c>
      <c r="V101" s="34" t="str">
        <f t="shared" si="48"/>
        <v>-</v>
      </c>
      <c r="W101" s="35" t="str">
        <f t="shared" si="64"/>
        <v>-</v>
      </c>
      <c r="X101" s="35" t="str">
        <f t="shared" si="49"/>
        <v>-</v>
      </c>
      <c r="Y101" s="36" t="str">
        <f t="shared" si="50"/>
        <v>-</v>
      </c>
      <c r="Z101" s="34" t="str">
        <f t="shared" si="51"/>
        <v>-</v>
      </c>
      <c r="AA101" s="35" t="str">
        <f t="shared" si="65"/>
        <v>-</v>
      </c>
      <c r="AB101" s="35" t="str">
        <f t="shared" si="52"/>
        <v>-</v>
      </c>
      <c r="AC101" s="36" t="str">
        <f t="shared" si="53"/>
        <v>-</v>
      </c>
      <c r="AD101" s="34" t="str">
        <f t="shared" si="54"/>
        <v>-</v>
      </c>
      <c r="AE101" s="35" t="str">
        <f t="shared" si="66"/>
        <v>-</v>
      </c>
      <c r="AF101" s="35" t="str">
        <f t="shared" si="55"/>
        <v>-</v>
      </c>
      <c r="AG101" s="36" t="str">
        <f t="shared" si="56"/>
        <v>-</v>
      </c>
      <c r="AH101" s="34" t="str">
        <f t="shared" si="57"/>
        <v>-</v>
      </c>
      <c r="AI101" s="35" t="str">
        <f t="shared" si="67"/>
        <v>-</v>
      </c>
      <c r="AJ101" s="35" t="str">
        <f t="shared" si="58"/>
        <v>-</v>
      </c>
      <c r="AK101" s="36" t="str">
        <f t="shared" si="59"/>
        <v>-</v>
      </c>
      <c r="AL101" s="34" t="str">
        <f t="shared" si="68"/>
        <v>-</v>
      </c>
      <c r="AM101" s="35" t="str">
        <f t="shared" si="69"/>
        <v>-</v>
      </c>
      <c r="AN101" s="35" t="str">
        <f t="shared" si="70"/>
        <v>-</v>
      </c>
      <c r="AO101" s="36" t="str">
        <f t="shared" si="71"/>
        <v>-</v>
      </c>
    </row>
    <row r="102" spans="2:42" ht="15" x14ac:dyDescent="0.25">
      <c r="B102" s="431" t="s">
        <v>118</v>
      </c>
      <c r="C102" s="412">
        <v>1.2</v>
      </c>
      <c r="D102" s="423" t="s">
        <v>127</v>
      </c>
      <c r="F102" s="34" t="str">
        <f t="shared" si="36"/>
        <v>-</v>
      </c>
      <c r="G102" s="35">
        <f t="shared" si="60"/>
        <v>1</v>
      </c>
      <c r="H102" s="35" t="str">
        <f t="shared" si="37"/>
        <v>-</v>
      </c>
      <c r="I102" s="36" t="str">
        <f t="shared" si="38"/>
        <v>-</v>
      </c>
      <c r="J102" s="34" t="str">
        <f t="shared" si="39"/>
        <v>-</v>
      </c>
      <c r="K102" s="35" t="str">
        <f t="shared" si="61"/>
        <v>-</v>
      </c>
      <c r="L102" s="35" t="str">
        <f t="shared" si="40"/>
        <v>-</v>
      </c>
      <c r="M102" s="36" t="str">
        <f t="shared" si="41"/>
        <v>-</v>
      </c>
      <c r="N102" s="34" t="str">
        <f t="shared" si="42"/>
        <v>-</v>
      </c>
      <c r="O102" s="35" t="str">
        <f t="shared" si="62"/>
        <v>-</v>
      </c>
      <c r="P102" s="35" t="str">
        <f t="shared" si="43"/>
        <v>-</v>
      </c>
      <c r="Q102" s="36" t="str">
        <f t="shared" si="44"/>
        <v>-</v>
      </c>
      <c r="R102" s="34" t="str">
        <f t="shared" si="45"/>
        <v>-</v>
      </c>
      <c r="S102" s="35" t="str">
        <f t="shared" si="63"/>
        <v>-</v>
      </c>
      <c r="T102" s="35" t="str">
        <f t="shared" si="46"/>
        <v>-</v>
      </c>
      <c r="U102" s="36" t="str">
        <f t="shared" si="47"/>
        <v>-</v>
      </c>
      <c r="V102" s="34" t="str">
        <f t="shared" si="48"/>
        <v>-</v>
      </c>
      <c r="W102" s="35" t="str">
        <f t="shared" si="64"/>
        <v>-</v>
      </c>
      <c r="X102" s="35" t="str">
        <f t="shared" si="49"/>
        <v>-</v>
      </c>
      <c r="Y102" s="36" t="str">
        <f t="shared" si="50"/>
        <v>-</v>
      </c>
      <c r="Z102" s="34" t="str">
        <f t="shared" si="51"/>
        <v>-</v>
      </c>
      <c r="AA102" s="35" t="str">
        <f t="shared" si="65"/>
        <v>-</v>
      </c>
      <c r="AB102" s="35" t="str">
        <f t="shared" si="52"/>
        <v>-</v>
      </c>
      <c r="AC102" s="36" t="str">
        <f t="shared" si="53"/>
        <v>-</v>
      </c>
      <c r="AD102" s="34" t="str">
        <f t="shared" si="54"/>
        <v>-</v>
      </c>
      <c r="AE102" s="35" t="str">
        <f t="shared" si="66"/>
        <v>-</v>
      </c>
      <c r="AF102" s="35" t="str">
        <f t="shared" si="55"/>
        <v>-</v>
      </c>
      <c r="AG102" s="36" t="str">
        <f t="shared" si="56"/>
        <v>-</v>
      </c>
      <c r="AH102" s="34" t="str">
        <f t="shared" si="57"/>
        <v>-</v>
      </c>
      <c r="AI102" s="35" t="str">
        <f t="shared" si="67"/>
        <v>-</v>
      </c>
      <c r="AJ102" s="35" t="str">
        <f t="shared" si="58"/>
        <v>-</v>
      </c>
      <c r="AK102" s="36" t="str">
        <f t="shared" si="59"/>
        <v>-</v>
      </c>
      <c r="AL102" s="34" t="str">
        <f t="shared" si="68"/>
        <v>-</v>
      </c>
      <c r="AM102" s="35" t="str">
        <f t="shared" si="69"/>
        <v>-</v>
      </c>
      <c r="AN102" s="35" t="str">
        <f t="shared" si="70"/>
        <v>-</v>
      </c>
      <c r="AO102" s="36" t="str">
        <f t="shared" si="71"/>
        <v>-</v>
      </c>
    </row>
    <row r="103" spans="2:42" ht="15" x14ac:dyDescent="0.25">
      <c r="B103" s="432" t="s">
        <v>532</v>
      </c>
      <c r="C103" s="411">
        <v>2.6900000000000013</v>
      </c>
      <c r="D103" s="129" t="s">
        <v>122</v>
      </c>
      <c r="F103" s="34" t="str">
        <f t="shared" si="36"/>
        <v>-</v>
      </c>
      <c r="G103" s="35" t="str">
        <f t="shared" si="60"/>
        <v>-</v>
      </c>
      <c r="H103" s="35" t="str">
        <f t="shared" si="37"/>
        <v>-</v>
      </c>
      <c r="I103" s="36" t="str">
        <f t="shared" si="38"/>
        <v>-</v>
      </c>
      <c r="J103" s="34" t="str">
        <f t="shared" si="39"/>
        <v>-</v>
      </c>
      <c r="K103" s="35" t="str">
        <f t="shared" si="61"/>
        <v>-</v>
      </c>
      <c r="L103" s="35" t="str">
        <f t="shared" si="40"/>
        <v>-</v>
      </c>
      <c r="M103" s="36" t="str">
        <f t="shared" si="41"/>
        <v>-</v>
      </c>
      <c r="N103" s="34" t="str">
        <f t="shared" si="42"/>
        <v>-</v>
      </c>
      <c r="O103" s="35" t="str">
        <f t="shared" si="62"/>
        <v>-</v>
      </c>
      <c r="P103" s="35" t="str">
        <f t="shared" si="43"/>
        <v>-</v>
      </c>
      <c r="Q103" s="36" t="str">
        <f t="shared" si="44"/>
        <v>-</v>
      </c>
      <c r="R103" s="34" t="str">
        <f t="shared" si="45"/>
        <v>-</v>
      </c>
      <c r="S103" s="35" t="str">
        <f t="shared" si="63"/>
        <v>-</v>
      </c>
      <c r="T103" s="35" t="str">
        <f t="shared" si="46"/>
        <v>-</v>
      </c>
      <c r="U103" s="36" t="str">
        <f t="shared" si="47"/>
        <v>-</v>
      </c>
      <c r="V103" s="34" t="str">
        <f t="shared" si="48"/>
        <v>-</v>
      </c>
      <c r="W103" s="35" t="str">
        <f t="shared" si="64"/>
        <v>-</v>
      </c>
      <c r="X103" s="35" t="str">
        <f t="shared" si="49"/>
        <v>-</v>
      </c>
      <c r="Y103" s="36" t="str">
        <f t="shared" si="50"/>
        <v>-</v>
      </c>
      <c r="Z103" s="34">
        <f t="shared" si="51"/>
        <v>1</v>
      </c>
      <c r="AA103" s="35" t="str">
        <f t="shared" si="65"/>
        <v>-</v>
      </c>
      <c r="AB103" s="35" t="str">
        <f t="shared" si="52"/>
        <v>-</v>
      </c>
      <c r="AC103" s="36" t="str">
        <f t="shared" si="53"/>
        <v>-</v>
      </c>
      <c r="AD103" s="34" t="str">
        <f t="shared" si="54"/>
        <v>-</v>
      </c>
      <c r="AE103" s="35" t="str">
        <f t="shared" si="66"/>
        <v>-</v>
      </c>
      <c r="AF103" s="35" t="str">
        <f t="shared" si="55"/>
        <v>-</v>
      </c>
      <c r="AG103" s="36" t="str">
        <f t="shared" si="56"/>
        <v>-</v>
      </c>
      <c r="AH103" s="34" t="str">
        <f t="shared" si="57"/>
        <v>-</v>
      </c>
      <c r="AI103" s="35" t="str">
        <f t="shared" si="67"/>
        <v>-</v>
      </c>
      <c r="AJ103" s="35" t="str">
        <f t="shared" si="58"/>
        <v>-</v>
      </c>
      <c r="AK103" s="36" t="str">
        <f t="shared" si="59"/>
        <v>-</v>
      </c>
      <c r="AL103" s="34" t="str">
        <f t="shared" si="68"/>
        <v>-</v>
      </c>
      <c r="AM103" s="35" t="str">
        <f t="shared" si="69"/>
        <v>-</v>
      </c>
      <c r="AN103" s="35" t="str">
        <f t="shared" si="70"/>
        <v>-</v>
      </c>
      <c r="AO103" s="36" t="str">
        <f t="shared" si="71"/>
        <v>-</v>
      </c>
    </row>
    <row r="104" spans="2:42" ht="15" x14ac:dyDescent="0.25">
      <c r="B104" s="432" t="s">
        <v>530</v>
      </c>
      <c r="C104" s="411">
        <v>1.5</v>
      </c>
      <c r="D104" s="129" t="s">
        <v>122</v>
      </c>
      <c r="F104" s="34" t="str">
        <f t="shared" si="36"/>
        <v>-</v>
      </c>
      <c r="G104" s="35" t="str">
        <f t="shared" si="60"/>
        <v>-</v>
      </c>
      <c r="H104" s="35" t="str">
        <f t="shared" si="37"/>
        <v>-</v>
      </c>
      <c r="I104" s="36" t="str">
        <f t="shared" si="38"/>
        <v>-</v>
      </c>
      <c r="J104" s="34">
        <f t="shared" si="39"/>
        <v>1</v>
      </c>
      <c r="K104" s="35" t="str">
        <f t="shared" si="61"/>
        <v>-</v>
      </c>
      <c r="L104" s="35" t="str">
        <f t="shared" si="40"/>
        <v>-</v>
      </c>
      <c r="M104" s="36" t="str">
        <f t="shared" si="41"/>
        <v>-</v>
      </c>
      <c r="N104" s="34" t="str">
        <f t="shared" si="42"/>
        <v>-</v>
      </c>
      <c r="O104" s="35" t="str">
        <f t="shared" si="62"/>
        <v>-</v>
      </c>
      <c r="P104" s="35" t="str">
        <f t="shared" si="43"/>
        <v>-</v>
      </c>
      <c r="Q104" s="36" t="str">
        <f t="shared" si="44"/>
        <v>-</v>
      </c>
      <c r="R104" s="34" t="str">
        <f t="shared" si="45"/>
        <v>-</v>
      </c>
      <c r="S104" s="35" t="str">
        <f t="shared" si="63"/>
        <v>-</v>
      </c>
      <c r="T104" s="35" t="str">
        <f t="shared" si="46"/>
        <v>-</v>
      </c>
      <c r="U104" s="36" t="str">
        <f t="shared" si="47"/>
        <v>-</v>
      </c>
      <c r="V104" s="34" t="str">
        <f t="shared" si="48"/>
        <v>-</v>
      </c>
      <c r="W104" s="35" t="str">
        <f t="shared" si="64"/>
        <v>-</v>
      </c>
      <c r="X104" s="35" t="str">
        <f t="shared" si="49"/>
        <v>-</v>
      </c>
      <c r="Y104" s="36" t="str">
        <f t="shared" si="50"/>
        <v>-</v>
      </c>
      <c r="Z104" s="34" t="str">
        <f t="shared" si="51"/>
        <v>-</v>
      </c>
      <c r="AA104" s="35" t="str">
        <f t="shared" si="65"/>
        <v>-</v>
      </c>
      <c r="AB104" s="35" t="str">
        <f t="shared" si="52"/>
        <v>-</v>
      </c>
      <c r="AC104" s="36" t="str">
        <f t="shared" si="53"/>
        <v>-</v>
      </c>
      <c r="AD104" s="34" t="str">
        <f t="shared" si="54"/>
        <v>-</v>
      </c>
      <c r="AE104" s="35" t="str">
        <f t="shared" si="66"/>
        <v>-</v>
      </c>
      <c r="AF104" s="35" t="str">
        <f t="shared" si="55"/>
        <v>-</v>
      </c>
      <c r="AG104" s="36" t="str">
        <f t="shared" si="56"/>
        <v>-</v>
      </c>
      <c r="AH104" s="34" t="str">
        <f t="shared" si="57"/>
        <v>-</v>
      </c>
      <c r="AI104" s="35" t="str">
        <f t="shared" si="67"/>
        <v>-</v>
      </c>
      <c r="AJ104" s="35" t="str">
        <f t="shared" si="58"/>
        <v>-</v>
      </c>
      <c r="AK104" s="36" t="str">
        <f t="shared" si="59"/>
        <v>-</v>
      </c>
      <c r="AL104" s="34" t="str">
        <f t="shared" si="68"/>
        <v>-</v>
      </c>
      <c r="AM104" s="35" t="str">
        <f t="shared" si="69"/>
        <v>-</v>
      </c>
      <c r="AN104" s="35" t="str">
        <f t="shared" si="70"/>
        <v>-</v>
      </c>
      <c r="AO104" s="36" t="str">
        <f t="shared" si="71"/>
        <v>-</v>
      </c>
    </row>
    <row r="105" spans="2:42" ht="15" x14ac:dyDescent="0.25">
      <c r="B105" s="432" t="s">
        <v>531</v>
      </c>
      <c r="C105" s="411">
        <v>2.9800000000000004</v>
      </c>
      <c r="D105" s="129" t="s">
        <v>122</v>
      </c>
      <c r="F105" s="34" t="str">
        <f t="shared" si="36"/>
        <v>-</v>
      </c>
      <c r="G105" s="35" t="str">
        <f t="shared" si="60"/>
        <v>-</v>
      </c>
      <c r="H105" s="35" t="str">
        <f t="shared" si="37"/>
        <v>-</v>
      </c>
      <c r="I105" s="36" t="str">
        <f t="shared" si="38"/>
        <v>-</v>
      </c>
      <c r="J105" s="34" t="str">
        <f t="shared" si="39"/>
        <v>-</v>
      </c>
      <c r="K105" s="35" t="str">
        <f t="shared" si="61"/>
        <v>-</v>
      </c>
      <c r="L105" s="35" t="str">
        <f t="shared" si="40"/>
        <v>-</v>
      </c>
      <c r="M105" s="36" t="str">
        <f t="shared" si="41"/>
        <v>-</v>
      </c>
      <c r="N105" s="34" t="str">
        <f t="shared" si="42"/>
        <v>-</v>
      </c>
      <c r="O105" s="35" t="str">
        <f t="shared" si="62"/>
        <v>-</v>
      </c>
      <c r="P105" s="35" t="str">
        <f t="shared" si="43"/>
        <v>-</v>
      </c>
      <c r="Q105" s="36" t="str">
        <f t="shared" si="44"/>
        <v>-</v>
      </c>
      <c r="R105" s="34" t="str">
        <f t="shared" si="45"/>
        <v>-</v>
      </c>
      <c r="S105" s="35" t="str">
        <f t="shared" si="63"/>
        <v>-</v>
      </c>
      <c r="T105" s="35" t="str">
        <f t="shared" si="46"/>
        <v>-</v>
      </c>
      <c r="U105" s="36" t="str">
        <f t="shared" si="47"/>
        <v>-</v>
      </c>
      <c r="V105" s="34" t="str">
        <f t="shared" si="48"/>
        <v>-</v>
      </c>
      <c r="W105" s="35" t="str">
        <f t="shared" si="64"/>
        <v>-</v>
      </c>
      <c r="X105" s="35" t="str">
        <f t="shared" si="49"/>
        <v>-</v>
      </c>
      <c r="Y105" s="36" t="str">
        <f t="shared" si="50"/>
        <v>-</v>
      </c>
      <c r="Z105" s="34">
        <f t="shared" si="51"/>
        <v>1</v>
      </c>
      <c r="AA105" s="35" t="str">
        <f t="shared" si="65"/>
        <v>-</v>
      </c>
      <c r="AB105" s="35" t="str">
        <f t="shared" si="52"/>
        <v>-</v>
      </c>
      <c r="AC105" s="36" t="str">
        <f t="shared" si="53"/>
        <v>-</v>
      </c>
      <c r="AD105" s="34" t="str">
        <f t="shared" si="54"/>
        <v>-</v>
      </c>
      <c r="AE105" s="35" t="str">
        <f t="shared" si="66"/>
        <v>-</v>
      </c>
      <c r="AF105" s="35" t="str">
        <f t="shared" si="55"/>
        <v>-</v>
      </c>
      <c r="AG105" s="36" t="str">
        <f t="shared" si="56"/>
        <v>-</v>
      </c>
      <c r="AH105" s="34" t="str">
        <f t="shared" si="57"/>
        <v>-</v>
      </c>
      <c r="AI105" s="35" t="str">
        <f t="shared" si="67"/>
        <v>-</v>
      </c>
      <c r="AJ105" s="35" t="str">
        <f t="shared" si="58"/>
        <v>-</v>
      </c>
      <c r="AK105" s="36" t="str">
        <f t="shared" si="59"/>
        <v>-</v>
      </c>
      <c r="AL105" s="34" t="str">
        <f t="shared" si="68"/>
        <v>-</v>
      </c>
      <c r="AM105" s="35" t="str">
        <f t="shared" si="69"/>
        <v>-</v>
      </c>
      <c r="AN105" s="35" t="str">
        <f t="shared" si="70"/>
        <v>-</v>
      </c>
      <c r="AO105" s="36" t="str">
        <f t="shared" si="71"/>
        <v>-</v>
      </c>
    </row>
    <row r="106" spans="2:42" ht="15.75" thickBot="1" x14ac:dyDescent="0.3">
      <c r="B106" s="433" t="s">
        <v>119</v>
      </c>
      <c r="C106" s="434">
        <v>1</v>
      </c>
      <c r="D106" s="435" t="s">
        <v>123</v>
      </c>
      <c r="F106" s="34" t="str">
        <f t="shared" si="36"/>
        <v>-</v>
      </c>
      <c r="G106" s="35" t="str">
        <f t="shared" si="60"/>
        <v>-</v>
      </c>
      <c r="H106" s="35" t="str">
        <f t="shared" si="37"/>
        <v>-</v>
      </c>
      <c r="I106" s="36">
        <f t="shared" si="38"/>
        <v>1</v>
      </c>
      <c r="J106" s="34" t="str">
        <f t="shared" si="39"/>
        <v>-</v>
      </c>
      <c r="K106" s="35" t="str">
        <f t="shared" si="61"/>
        <v>-</v>
      </c>
      <c r="L106" s="35" t="str">
        <f t="shared" si="40"/>
        <v>-</v>
      </c>
      <c r="M106" s="36" t="str">
        <f t="shared" si="41"/>
        <v>-</v>
      </c>
      <c r="N106" s="34" t="str">
        <f t="shared" si="42"/>
        <v>-</v>
      </c>
      <c r="O106" s="35" t="str">
        <f t="shared" si="62"/>
        <v>-</v>
      </c>
      <c r="P106" s="35" t="str">
        <f t="shared" si="43"/>
        <v>-</v>
      </c>
      <c r="Q106" s="36" t="str">
        <f t="shared" si="44"/>
        <v>-</v>
      </c>
      <c r="R106" s="34" t="str">
        <f t="shared" si="45"/>
        <v>-</v>
      </c>
      <c r="S106" s="35" t="str">
        <f t="shared" si="63"/>
        <v>-</v>
      </c>
      <c r="T106" s="35" t="str">
        <f t="shared" si="46"/>
        <v>-</v>
      </c>
      <c r="U106" s="36" t="str">
        <f t="shared" si="47"/>
        <v>-</v>
      </c>
      <c r="V106" s="34" t="str">
        <f t="shared" si="48"/>
        <v>-</v>
      </c>
      <c r="W106" s="35" t="str">
        <f t="shared" si="64"/>
        <v>-</v>
      </c>
      <c r="X106" s="35" t="str">
        <f t="shared" si="49"/>
        <v>-</v>
      </c>
      <c r="Y106" s="36" t="str">
        <f t="shared" si="50"/>
        <v>-</v>
      </c>
      <c r="Z106" s="34" t="str">
        <f t="shared" si="51"/>
        <v>-</v>
      </c>
      <c r="AA106" s="35" t="str">
        <f t="shared" si="65"/>
        <v>-</v>
      </c>
      <c r="AB106" s="35" t="str">
        <f t="shared" si="52"/>
        <v>-</v>
      </c>
      <c r="AC106" s="36" t="str">
        <f t="shared" si="53"/>
        <v>-</v>
      </c>
      <c r="AD106" s="34" t="str">
        <f t="shared" si="54"/>
        <v>-</v>
      </c>
      <c r="AE106" s="35" t="str">
        <f t="shared" si="66"/>
        <v>-</v>
      </c>
      <c r="AF106" s="35" t="str">
        <f t="shared" si="55"/>
        <v>-</v>
      </c>
      <c r="AG106" s="36" t="str">
        <f t="shared" si="56"/>
        <v>-</v>
      </c>
      <c r="AH106" s="34" t="str">
        <f t="shared" si="57"/>
        <v>-</v>
      </c>
      <c r="AI106" s="35" t="str">
        <f t="shared" si="67"/>
        <v>-</v>
      </c>
      <c r="AJ106" s="35" t="str">
        <f t="shared" si="58"/>
        <v>-</v>
      </c>
      <c r="AK106" s="36" t="str">
        <f t="shared" si="59"/>
        <v>-</v>
      </c>
      <c r="AL106" s="34" t="str">
        <f t="shared" si="68"/>
        <v>-</v>
      </c>
      <c r="AM106" s="35" t="str">
        <f t="shared" si="69"/>
        <v>-</v>
      </c>
      <c r="AN106" s="35" t="str">
        <f t="shared" si="70"/>
        <v>-</v>
      </c>
      <c r="AO106" s="36" t="str">
        <f t="shared" si="71"/>
        <v>-</v>
      </c>
    </row>
    <row r="107" spans="2:42" ht="15" x14ac:dyDescent="0.25">
      <c r="B107" s="16"/>
      <c r="C107" s="17"/>
      <c r="D107" s="18"/>
      <c r="F107" s="20">
        <f t="shared" ref="F107:AO107" si="72">SUM(F3:F106)</f>
        <v>14</v>
      </c>
      <c r="G107" s="20">
        <f t="shared" si="72"/>
        <v>6</v>
      </c>
      <c r="H107" s="20">
        <f t="shared" si="72"/>
        <v>2</v>
      </c>
      <c r="I107" s="20">
        <f t="shared" si="72"/>
        <v>5</v>
      </c>
      <c r="J107" s="20">
        <f t="shared" si="72"/>
        <v>13</v>
      </c>
      <c r="K107" s="20">
        <f t="shared" si="72"/>
        <v>0</v>
      </c>
      <c r="L107" s="20">
        <f t="shared" si="72"/>
        <v>1</v>
      </c>
      <c r="M107" s="20">
        <f t="shared" si="72"/>
        <v>3</v>
      </c>
      <c r="N107" s="20">
        <f t="shared" si="72"/>
        <v>15</v>
      </c>
      <c r="O107" s="20">
        <f t="shared" si="72"/>
        <v>1</v>
      </c>
      <c r="P107" s="20">
        <f t="shared" si="72"/>
        <v>1</v>
      </c>
      <c r="Q107" s="20">
        <f t="shared" si="72"/>
        <v>1</v>
      </c>
      <c r="R107" s="20">
        <f t="shared" si="72"/>
        <v>17</v>
      </c>
      <c r="S107" s="20">
        <f t="shared" si="72"/>
        <v>1</v>
      </c>
      <c r="T107" s="20">
        <f t="shared" si="72"/>
        <v>2</v>
      </c>
      <c r="U107" s="20">
        <f t="shared" si="72"/>
        <v>2</v>
      </c>
      <c r="V107" s="20">
        <f t="shared" si="72"/>
        <v>14</v>
      </c>
      <c r="W107" s="20">
        <f t="shared" si="72"/>
        <v>0</v>
      </c>
      <c r="X107" s="20">
        <f t="shared" si="72"/>
        <v>1</v>
      </c>
      <c r="Y107" s="20">
        <f t="shared" si="72"/>
        <v>1</v>
      </c>
      <c r="Z107" s="20">
        <f t="shared" si="72"/>
        <v>4</v>
      </c>
      <c r="AA107" s="20">
        <f t="shared" si="72"/>
        <v>0</v>
      </c>
      <c r="AB107" s="20">
        <f t="shared" si="72"/>
        <v>0</v>
      </c>
      <c r="AC107" s="20">
        <f t="shared" si="72"/>
        <v>0</v>
      </c>
      <c r="AD107" s="20">
        <f t="shared" si="72"/>
        <v>0</v>
      </c>
      <c r="AE107" s="20">
        <f t="shared" si="72"/>
        <v>0</v>
      </c>
      <c r="AF107" s="20">
        <f t="shared" si="72"/>
        <v>0</v>
      </c>
      <c r="AG107" s="20">
        <f t="shared" si="72"/>
        <v>0</v>
      </c>
      <c r="AH107" s="20">
        <f t="shared" si="72"/>
        <v>0</v>
      </c>
      <c r="AI107" s="20">
        <f t="shared" si="72"/>
        <v>0</v>
      </c>
      <c r="AJ107" s="20">
        <f t="shared" si="72"/>
        <v>0</v>
      </c>
      <c r="AK107" s="20">
        <f t="shared" si="72"/>
        <v>0</v>
      </c>
      <c r="AL107" s="20">
        <f t="shared" si="72"/>
        <v>0</v>
      </c>
      <c r="AM107" s="20">
        <f t="shared" si="72"/>
        <v>0</v>
      </c>
      <c r="AN107" s="20">
        <f t="shared" si="72"/>
        <v>0</v>
      </c>
      <c r="AO107" s="20">
        <f t="shared" si="72"/>
        <v>0</v>
      </c>
      <c r="AP107" s="21">
        <f>SUM(F107:AO107)</f>
        <v>104</v>
      </c>
    </row>
    <row r="108" spans="2:42" ht="15.75" thickBot="1" x14ac:dyDescent="0.3"/>
    <row r="109" spans="2:42" ht="53.25" customHeight="1" x14ac:dyDescent="0.25">
      <c r="F109" s="24" t="s">
        <v>16</v>
      </c>
      <c r="G109" s="25" t="s">
        <v>17</v>
      </c>
      <c r="H109" s="25" t="s">
        <v>18</v>
      </c>
      <c r="I109" s="26" t="s">
        <v>19</v>
      </c>
    </row>
    <row r="110" spans="2:42" ht="15.75" thickBot="1" x14ac:dyDescent="0.3">
      <c r="F110" s="27">
        <f>COUNTIF(D3:D106,"R")</f>
        <v>77</v>
      </c>
      <c r="G110" s="28">
        <f>COUNTIF(D3:D106,"S")</f>
        <v>8</v>
      </c>
      <c r="H110" s="28">
        <f>COUNTIF(D3:D106,"A")</f>
        <v>7</v>
      </c>
      <c r="I110" s="29">
        <f>COUNTIF(D3:D106,"P")</f>
        <v>12</v>
      </c>
      <c r="K110" s="447">
        <f>SUM(F110:I110)</f>
        <v>104</v>
      </c>
      <c r="L110">
        <f>+F110+H110+I110</f>
        <v>96</v>
      </c>
    </row>
    <row r="111" spans="2:42" ht="15.75" thickBot="1" x14ac:dyDescent="0.3"/>
    <row r="112" spans="2:42" ht="15" x14ac:dyDescent="0.25">
      <c r="F112" s="450" t="s">
        <v>132</v>
      </c>
      <c r="G112" s="451"/>
      <c r="H112" s="451"/>
      <c r="I112" s="451"/>
      <c r="J112" s="451"/>
      <c r="K112" s="452"/>
    </row>
    <row r="113" spans="6:11" ht="100.8" x14ac:dyDescent="0.3">
      <c r="F113" s="7" t="s">
        <v>21</v>
      </c>
      <c r="G113" s="8" t="s">
        <v>22</v>
      </c>
      <c r="H113" s="8" t="s">
        <v>131</v>
      </c>
      <c r="I113" s="8" t="s">
        <v>23</v>
      </c>
      <c r="J113" s="8" t="s">
        <v>24</v>
      </c>
      <c r="K113" s="9" t="s">
        <v>20</v>
      </c>
    </row>
    <row r="114" spans="6:11" ht="15" x14ac:dyDescent="0.25">
      <c r="F114" s="7" t="s">
        <v>25</v>
      </c>
      <c r="G114" s="10">
        <f>F107</f>
        <v>14</v>
      </c>
      <c r="H114" s="30">
        <f>G107</f>
        <v>6</v>
      </c>
      <c r="I114" s="10">
        <f>H107</f>
        <v>2</v>
      </c>
      <c r="J114" s="10">
        <f>I107</f>
        <v>5</v>
      </c>
      <c r="K114" s="11">
        <f t="shared" ref="K114:K122" si="73">SUM(G114:J114)</f>
        <v>27</v>
      </c>
    </row>
    <row r="115" spans="6:11" ht="15" x14ac:dyDescent="0.25">
      <c r="F115" s="7" t="s">
        <v>26</v>
      </c>
      <c r="G115" s="10">
        <f>J107</f>
        <v>13</v>
      </c>
      <c r="H115" s="30">
        <f>K107</f>
        <v>0</v>
      </c>
      <c r="I115" s="10">
        <f>L107</f>
        <v>1</v>
      </c>
      <c r="J115" s="10">
        <f>M107</f>
        <v>3</v>
      </c>
      <c r="K115" s="11">
        <f t="shared" si="73"/>
        <v>17</v>
      </c>
    </row>
    <row r="116" spans="6:11" ht="15" x14ac:dyDescent="0.25">
      <c r="F116" s="7" t="s">
        <v>27</v>
      </c>
      <c r="G116" s="10">
        <f>N107</f>
        <v>15</v>
      </c>
      <c r="H116" s="30">
        <f>O107</f>
        <v>1</v>
      </c>
      <c r="I116" s="10">
        <f>P107</f>
        <v>1</v>
      </c>
      <c r="J116" s="10">
        <f>Q107</f>
        <v>1</v>
      </c>
      <c r="K116" s="11">
        <f t="shared" si="73"/>
        <v>18</v>
      </c>
    </row>
    <row r="117" spans="6:11" ht="15" x14ac:dyDescent="0.25">
      <c r="F117" s="7" t="s">
        <v>28</v>
      </c>
      <c r="G117" s="10">
        <f>R107</f>
        <v>17</v>
      </c>
      <c r="H117" s="30">
        <f>S107</f>
        <v>1</v>
      </c>
      <c r="I117" s="10">
        <f>T107</f>
        <v>2</v>
      </c>
      <c r="J117" s="10">
        <f>U107</f>
        <v>2</v>
      </c>
      <c r="K117" s="11">
        <f t="shared" si="73"/>
        <v>22</v>
      </c>
    </row>
    <row r="118" spans="6:11" ht="15" x14ac:dyDescent="0.25">
      <c r="F118" s="7" t="s">
        <v>29</v>
      </c>
      <c r="G118" s="10">
        <f>V107</f>
        <v>14</v>
      </c>
      <c r="H118" s="30">
        <f>W107</f>
        <v>0</v>
      </c>
      <c r="I118" s="10">
        <f>X107</f>
        <v>1</v>
      </c>
      <c r="J118" s="10">
        <f>Y107</f>
        <v>1</v>
      </c>
      <c r="K118" s="11">
        <f t="shared" si="73"/>
        <v>16</v>
      </c>
    </row>
    <row r="119" spans="6:11" ht="15" x14ac:dyDescent="0.25">
      <c r="F119" s="7" t="s">
        <v>30</v>
      </c>
      <c r="G119" s="10">
        <f>Z107</f>
        <v>4</v>
      </c>
      <c r="H119" s="30">
        <f>AA107</f>
        <v>0</v>
      </c>
      <c r="I119" s="10">
        <f>AB107</f>
        <v>0</v>
      </c>
      <c r="J119" s="10">
        <f>AC107</f>
        <v>0</v>
      </c>
      <c r="K119" s="11">
        <f t="shared" si="73"/>
        <v>4</v>
      </c>
    </row>
    <row r="120" spans="6:11" ht="15.75" thickBot="1" x14ac:dyDescent="0.3">
      <c r="F120" s="12" t="s">
        <v>31</v>
      </c>
      <c r="G120" s="10">
        <f>AD107</f>
        <v>0</v>
      </c>
      <c r="H120" s="30">
        <f>AE107</f>
        <v>0</v>
      </c>
      <c r="I120" s="10">
        <f>AF107</f>
        <v>0</v>
      </c>
      <c r="J120" s="10">
        <f>AG107</f>
        <v>0</v>
      </c>
      <c r="K120" s="11">
        <f t="shared" si="73"/>
        <v>0</v>
      </c>
    </row>
    <row r="121" spans="6:11" ht="15.75" thickBot="1" x14ac:dyDescent="0.3">
      <c r="F121" s="12" t="s">
        <v>32</v>
      </c>
      <c r="G121" s="10">
        <f>AH107</f>
        <v>0</v>
      </c>
      <c r="H121" s="30">
        <f>AI107</f>
        <v>0</v>
      </c>
      <c r="I121" s="10">
        <f>AJ107</f>
        <v>0</v>
      </c>
      <c r="J121" s="10">
        <f>AK107</f>
        <v>0</v>
      </c>
      <c r="K121" s="11">
        <f t="shared" si="73"/>
        <v>0</v>
      </c>
    </row>
    <row r="122" spans="6:11" ht="15.75" thickBot="1" x14ac:dyDescent="0.3">
      <c r="F122" s="12" t="s">
        <v>33</v>
      </c>
      <c r="G122" s="10">
        <f>AL107</f>
        <v>0</v>
      </c>
      <c r="H122" s="30">
        <f>AM107</f>
        <v>0</v>
      </c>
      <c r="I122" s="10">
        <f>AN107</f>
        <v>0</v>
      </c>
      <c r="J122" s="10">
        <f>AO107</f>
        <v>0</v>
      </c>
      <c r="K122" s="11">
        <f t="shared" si="73"/>
        <v>0</v>
      </c>
    </row>
    <row r="123" spans="6:11" ht="15.75" thickBot="1" x14ac:dyDescent="0.3">
      <c r="F123" s="15" t="s">
        <v>20</v>
      </c>
      <c r="G123" s="13">
        <f>SUM(G114:G122)</f>
        <v>77</v>
      </c>
      <c r="H123" s="13">
        <f t="shared" ref="H123:J123" si="74">SUM(H114:H122)</f>
        <v>8</v>
      </c>
      <c r="I123" s="13">
        <f t="shared" si="74"/>
        <v>7</v>
      </c>
      <c r="J123" s="13">
        <f t="shared" si="74"/>
        <v>12</v>
      </c>
      <c r="K123" s="14">
        <f>SUM(K114:K122)</f>
        <v>104</v>
      </c>
    </row>
    <row r="126" spans="6:11" ht="15" x14ac:dyDescent="0.25">
      <c r="I126" s="121">
        <f>SUM(G123:I123)</f>
        <v>92</v>
      </c>
    </row>
  </sheetData>
  <mergeCells count="10">
    <mergeCell ref="F112:K112"/>
    <mergeCell ref="AD1:AG1"/>
    <mergeCell ref="AH1:AK1"/>
    <mergeCell ref="AL1:AO1"/>
    <mergeCell ref="F1:I1"/>
    <mergeCell ref="J1:M1"/>
    <mergeCell ref="N1:Q1"/>
    <mergeCell ref="R1:U1"/>
    <mergeCell ref="V1:Y1"/>
    <mergeCell ref="Z1:AC1"/>
  </mergeCells>
  <pageMargins left="0.31496062992125984" right="0.31496062992125984" top="0.35433070866141736" bottom="0.35433070866141736" header="0.31496062992125984" footer="0.31496062992125984"/>
  <pageSetup paperSize="9" scale="47" fitToHeight="2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W149"/>
  <sheetViews>
    <sheetView view="pageBreakPreview" topLeftCell="A106" zoomScale="80" zoomScaleNormal="100" zoomScaleSheetLayoutView="80" workbookViewId="0">
      <selection activeCell="A99" sqref="A99:M149"/>
    </sheetView>
  </sheetViews>
  <sheetFormatPr baseColWidth="10" defaultRowHeight="14.4" x14ac:dyDescent="0.3"/>
  <cols>
    <col min="2" max="20" width="11.44140625" customWidth="1"/>
    <col min="21" max="21" width="2.88671875" customWidth="1"/>
    <col min="22" max="94" width="11.44140625" customWidth="1"/>
    <col min="104" max="104" width="14.6640625" customWidth="1"/>
    <col min="107" max="107" width="15" customWidth="1"/>
    <col min="108" max="108" width="7" customWidth="1"/>
    <col min="150" max="150" width="11.44140625" style="90"/>
  </cols>
  <sheetData>
    <row r="1" spans="1:153" ht="15.75" customHeight="1" thickBot="1" x14ac:dyDescent="0.35">
      <c r="DE1" s="471" t="s">
        <v>339</v>
      </c>
      <c r="DF1" s="472"/>
      <c r="DG1" s="472"/>
      <c r="DH1" s="472"/>
      <c r="DI1" s="472"/>
      <c r="DJ1" s="472"/>
      <c r="DK1" s="472"/>
      <c r="DL1" s="472"/>
      <c r="DM1" s="472"/>
      <c r="DN1" s="101"/>
      <c r="DO1" s="471" t="s">
        <v>333</v>
      </c>
      <c r="DP1" s="472"/>
      <c r="DQ1" s="472"/>
      <c r="DR1" s="472"/>
      <c r="DS1" s="472"/>
      <c r="DT1" s="472"/>
      <c r="DU1" s="472"/>
      <c r="DV1" s="472"/>
      <c r="DW1" s="472"/>
      <c r="DX1" s="472"/>
      <c r="DY1" s="472"/>
      <c r="DZ1" s="472"/>
      <c r="EA1" s="472"/>
      <c r="EB1" s="472"/>
      <c r="EC1" s="472"/>
      <c r="ED1" s="472"/>
      <c r="EE1" s="472"/>
      <c r="EF1" s="472"/>
      <c r="EG1" s="472"/>
      <c r="EH1" s="472"/>
      <c r="EI1" s="472"/>
      <c r="EJ1" s="472"/>
      <c r="EK1" s="472"/>
      <c r="EL1" s="472"/>
      <c r="EM1" s="472"/>
      <c r="EN1" s="472"/>
      <c r="EO1" s="475"/>
    </row>
    <row r="2" spans="1:153" ht="15.75" customHeight="1" thickBot="1" x14ac:dyDescent="0.35">
      <c r="V2" s="529" t="s">
        <v>143</v>
      </c>
      <c r="W2" s="530"/>
      <c r="X2" s="530"/>
      <c r="Y2" s="530"/>
      <c r="Z2" s="530"/>
      <c r="AA2" s="530"/>
      <c r="AB2" s="530"/>
      <c r="AC2" s="530"/>
      <c r="AD2" s="530"/>
      <c r="AE2" s="530"/>
      <c r="AF2" s="530"/>
      <c r="AG2" s="530"/>
      <c r="AH2" s="530"/>
      <c r="AI2" s="530"/>
      <c r="AJ2" s="530"/>
      <c r="AK2" s="530"/>
      <c r="AL2" s="530"/>
      <c r="AM2" s="531"/>
      <c r="AN2" s="529" t="s">
        <v>142</v>
      </c>
      <c r="AO2" s="530"/>
      <c r="AP2" s="530"/>
      <c r="AQ2" s="530"/>
      <c r="AR2" s="530"/>
      <c r="AS2" s="530"/>
      <c r="AT2" s="530"/>
      <c r="AU2" s="530"/>
      <c r="AV2" s="530"/>
      <c r="AW2" s="530"/>
      <c r="AX2" s="530"/>
      <c r="AY2" s="530"/>
      <c r="AZ2" s="530"/>
      <c r="BA2" s="530"/>
      <c r="BB2" s="530"/>
      <c r="BC2" s="530"/>
      <c r="BD2" s="530"/>
      <c r="BE2" s="531"/>
      <c r="BF2" s="529" t="s">
        <v>144</v>
      </c>
      <c r="BG2" s="530"/>
      <c r="BH2" s="530"/>
      <c r="BI2" s="530"/>
      <c r="BJ2" s="530"/>
      <c r="BK2" s="530"/>
      <c r="BL2" s="530"/>
      <c r="BM2" s="530"/>
      <c r="BN2" s="530"/>
      <c r="BO2" s="530"/>
      <c r="BP2" s="530"/>
      <c r="BQ2" s="530"/>
      <c r="BR2" s="530"/>
      <c r="BS2" s="530"/>
      <c r="BT2" s="530"/>
      <c r="BU2" s="530"/>
      <c r="BV2" s="530"/>
      <c r="BW2" s="531"/>
      <c r="BX2" s="529" t="s">
        <v>145</v>
      </c>
      <c r="BY2" s="530"/>
      <c r="BZ2" s="530"/>
      <c r="CA2" s="530"/>
      <c r="CB2" s="530"/>
      <c r="CC2" s="530"/>
      <c r="CD2" s="530"/>
      <c r="CE2" s="530"/>
      <c r="CF2" s="530"/>
      <c r="CG2" s="530"/>
      <c r="CH2" s="530"/>
      <c r="CI2" s="530"/>
      <c r="CJ2" s="530"/>
      <c r="CK2" s="530"/>
      <c r="CL2" s="530"/>
      <c r="CM2" s="530"/>
      <c r="CN2" s="530"/>
      <c r="CO2" s="531"/>
      <c r="DE2" s="473"/>
      <c r="DF2" s="474"/>
      <c r="DG2" s="474"/>
      <c r="DH2" s="474"/>
      <c r="DI2" s="474"/>
      <c r="DJ2" s="474"/>
      <c r="DK2" s="474"/>
      <c r="DL2" s="474"/>
      <c r="DM2" s="474"/>
      <c r="DN2" s="101"/>
      <c r="DO2" s="473"/>
      <c r="DP2" s="474"/>
      <c r="DQ2" s="474"/>
      <c r="DR2" s="474"/>
      <c r="DS2" s="474"/>
      <c r="DT2" s="474"/>
      <c r="DU2" s="474"/>
      <c r="DV2" s="474"/>
      <c r="DW2" s="474"/>
      <c r="DX2" s="474"/>
      <c r="DY2" s="474"/>
      <c r="DZ2" s="474"/>
      <c r="EA2" s="474"/>
      <c r="EB2" s="474"/>
      <c r="EC2" s="474"/>
      <c r="ED2" s="474"/>
      <c r="EE2" s="474"/>
      <c r="EF2" s="474"/>
      <c r="EG2" s="474"/>
      <c r="EH2" s="474"/>
      <c r="EI2" s="474"/>
      <c r="EJ2" s="474"/>
      <c r="EK2" s="474"/>
      <c r="EL2" s="474"/>
      <c r="EM2" s="474"/>
      <c r="EN2" s="474"/>
      <c r="EO2" s="476"/>
    </row>
    <row r="3" spans="1:153" ht="21.75" customHeight="1" thickBot="1" x14ac:dyDescent="0.35">
      <c r="V3" s="532"/>
      <c r="W3" s="533"/>
      <c r="X3" s="533"/>
      <c r="Y3" s="533"/>
      <c r="Z3" s="533"/>
      <c r="AA3" s="533"/>
      <c r="AB3" s="533"/>
      <c r="AC3" s="533"/>
      <c r="AD3" s="533"/>
      <c r="AE3" s="533"/>
      <c r="AF3" s="533"/>
      <c r="AG3" s="533"/>
      <c r="AH3" s="533"/>
      <c r="AI3" s="533"/>
      <c r="AJ3" s="533"/>
      <c r="AK3" s="533"/>
      <c r="AL3" s="533"/>
      <c r="AM3" s="534"/>
      <c r="AN3" s="532"/>
      <c r="AO3" s="533"/>
      <c r="AP3" s="533"/>
      <c r="AQ3" s="533"/>
      <c r="AR3" s="533"/>
      <c r="AS3" s="533"/>
      <c r="AT3" s="533"/>
      <c r="AU3" s="533"/>
      <c r="AV3" s="533"/>
      <c r="AW3" s="533"/>
      <c r="AX3" s="533"/>
      <c r="AY3" s="533"/>
      <c r="AZ3" s="533"/>
      <c r="BA3" s="533"/>
      <c r="BB3" s="533"/>
      <c r="BC3" s="533"/>
      <c r="BD3" s="533"/>
      <c r="BE3" s="534"/>
      <c r="BF3" s="532"/>
      <c r="BG3" s="533"/>
      <c r="BH3" s="533"/>
      <c r="BI3" s="533"/>
      <c r="BJ3" s="533"/>
      <c r="BK3" s="533"/>
      <c r="BL3" s="533"/>
      <c r="BM3" s="533"/>
      <c r="BN3" s="533"/>
      <c r="BO3" s="533"/>
      <c r="BP3" s="533"/>
      <c r="BQ3" s="533"/>
      <c r="BR3" s="533"/>
      <c r="BS3" s="533"/>
      <c r="BT3" s="533"/>
      <c r="BU3" s="533"/>
      <c r="BV3" s="533"/>
      <c r="BW3" s="534"/>
      <c r="BX3" s="532"/>
      <c r="BY3" s="533"/>
      <c r="BZ3" s="533"/>
      <c r="CA3" s="533"/>
      <c r="CB3" s="533"/>
      <c r="CC3" s="533"/>
      <c r="CD3" s="533"/>
      <c r="CE3" s="533"/>
      <c r="CF3" s="533"/>
      <c r="CG3" s="533"/>
      <c r="CH3" s="533"/>
      <c r="CI3" s="533"/>
      <c r="CJ3" s="533"/>
      <c r="CK3" s="533"/>
      <c r="CL3" s="533"/>
      <c r="CM3" s="533"/>
      <c r="CN3" s="533"/>
      <c r="CO3" s="534"/>
      <c r="DE3" s="477" t="s">
        <v>334</v>
      </c>
      <c r="DF3" s="478"/>
      <c r="DG3" s="478"/>
      <c r="DH3" s="478"/>
      <c r="DI3" s="478"/>
      <c r="DJ3" s="478"/>
      <c r="DK3" s="478"/>
      <c r="DL3" s="478"/>
      <c r="DM3" s="479"/>
      <c r="DN3" s="102"/>
      <c r="DO3" s="477" t="s">
        <v>334</v>
      </c>
      <c r="DP3" s="478"/>
      <c r="DQ3" s="478"/>
      <c r="DR3" s="478"/>
      <c r="DS3" s="478"/>
      <c r="DT3" s="478"/>
      <c r="DU3" s="478"/>
      <c r="DV3" s="478"/>
      <c r="DW3" s="479"/>
      <c r="DX3" s="477" t="s">
        <v>337</v>
      </c>
      <c r="DY3" s="478"/>
      <c r="DZ3" s="478"/>
      <c r="EA3" s="478"/>
      <c r="EB3" s="478"/>
      <c r="EC3" s="478"/>
      <c r="ED3" s="478"/>
      <c r="EE3" s="478"/>
      <c r="EF3" s="479"/>
      <c r="EG3" s="477" t="s">
        <v>335</v>
      </c>
      <c r="EH3" s="478"/>
      <c r="EI3" s="478"/>
      <c r="EJ3" s="478"/>
      <c r="EK3" s="478"/>
      <c r="EL3" s="478"/>
      <c r="EM3" s="478"/>
      <c r="EN3" s="478"/>
      <c r="EO3" s="479"/>
      <c r="EQ3" s="540" t="s">
        <v>345</v>
      </c>
      <c r="ER3" s="541"/>
      <c r="ES3" s="542"/>
    </row>
    <row r="4" spans="1:153" ht="16.5" customHeight="1" thickTop="1" thickBot="1" x14ac:dyDescent="0.35">
      <c r="A4" s="511" t="s">
        <v>34</v>
      </c>
      <c r="B4" s="512"/>
      <c r="C4" s="512"/>
      <c r="D4" s="512"/>
      <c r="E4" s="512"/>
      <c r="F4" s="512"/>
      <c r="G4" s="512"/>
      <c r="H4" s="512"/>
      <c r="I4" s="512"/>
      <c r="J4" s="512"/>
      <c r="K4" s="512"/>
      <c r="L4" s="512"/>
      <c r="M4" s="512"/>
      <c r="N4" s="512"/>
      <c r="O4" s="513"/>
      <c r="Q4" s="514" t="s">
        <v>49</v>
      </c>
      <c r="R4" s="516" t="s">
        <v>50</v>
      </c>
      <c r="S4" s="516" t="s">
        <v>51</v>
      </c>
      <c r="T4" s="518" t="s">
        <v>52</v>
      </c>
      <c r="V4" s="510" t="s">
        <v>5</v>
      </c>
      <c r="W4" s="510"/>
      <c r="X4" s="510" t="s">
        <v>134</v>
      </c>
      <c r="Y4" s="510"/>
      <c r="Z4" s="510" t="s">
        <v>135</v>
      </c>
      <c r="AA4" s="510"/>
      <c r="AB4" s="510" t="s">
        <v>136</v>
      </c>
      <c r="AC4" s="510"/>
      <c r="AD4" s="510" t="s">
        <v>137</v>
      </c>
      <c r="AE4" s="510"/>
      <c r="AF4" s="510" t="s">
        <v>138</v>
      </c>
      <c r="AG4" s="510"/>
      <c r="AH4" s="510" t="s">
        <v>139</v>
      </c>
      <c r="AI4" s="510"/>
      <c r="AJ4" s="510" t="s">
        <v>140</v>
      </c>
      <c r="AK4" s="510"/>
      <c r="AL4" s="510" t="s">
        <v>141</v>
      </c>
      <c r="AM4" s="510"/>
      <c r="AN4" s="510" t="s">
        <v>5</v>
      </c>
      <c r="AO4" s="510"/>
      <c r="AP4" s="510" t="s">
        <v>134</v>
      </c>
      <c r="AQ4" s="510"/>
      <c r="AR4" s="510" t="s">
        <v>135</v>
      </c>
      <c r="AS4" s="510"/>
      <c r="AT4" s="510" t="s">
        <v>136</v>
      </c>
      <c r="AU4" s="510"/>
      <c r="AV4" s="510" t="s">
        <v>137</v>
      </c>
      <c r="AW4" s="510"/>
      <c r="AX4" s="510" t="s">
        <v>138</v>
      </c>
      <c r="AY4" s="510"/>
      <c r="AZ4" s="510" t="s">
        <v>139</v>
      </c>
      <c r="BA4" s="510"/>
      <c r="BB4" s="510" t="s">
        <v>140</v>
      </c>
      <c r="BC4" s="510"/>
      <c r="BD4" s="510" t="s">
        <v>141</v>
      </c>
      <c r="BE4" s="510"/>
      <c r="BF4" s="510" t="s">
        <v>5</v>
      </c>
      <c r="BG4" s="510"/>
      <c r="BH4" s="510" t="s">
        <v>134</v>
      </c>
      <c r="BI4" s="510"/>
      <c r="BJ4" s="510" t="s">
        <v>135</v>
      </c>
      <c r="BK4" s="510"/>
      <c r="BL4" s="510" t="s">
        <v>136</v>
      </c>
      <c r="BM4" s="510"/>
      <c r="BN4" s="510" t="s">
        <v>137</v>
      </c>
      <c r="BO4" s="510"/>
      <c r="BP4" s="510" t="s">
        <v>138</v>
      </c>
      <c r="BQ4" s="510"/>
      <c r="BR4" s="510" t="s">
        <v>139</v>
      </c>
      <c r="BS4" s="510"/>
      <c r="BT4" s="510" t="s">
        <v>140</v>
      </c>
      <c r="BU4" s="510"/>
      <c r="BV4" s="510" t="s">
        <v>141</v>
      </c>
      <c r="BW4" s="510"/>
      <c r="BX4" s="510" t="s">
        <v>5</v>
      </c>
      <c r="BY4" s="510"/>
      <c r="BZ4" s="510" t="s">
        <v>134</v>
      </c>
      <c r="CA4" s="510"/>
      <c r="CB4" s="510" t="s">
        <v>135</v>
      </c>
      <c r="CC4" s="510"/>
      <c r="CD4" s="510" t="s">
        <v>136</v>
      </c>
      <c r="CE4" s="510"/>
      <c r="CF4" s="510" t="s">
        <v>137</v>
      </c>
      <c r="CG4" s="510"/>
      <c r="CH4" s="510" t="s">
        <v>138</v>
      </c>
      <c r="CI4" s="510"/>
      <c r="CJ4" s="510" t="s">
        <v>139</v>
      </c>
      <c r="CK4" s="510"/>
      <c r="CL4" s="510" t="s">
        <v>140</v>
      </c>
      <c r="CM4" s="510"/>
      <c r="CN4" s="510" t="s">
        <v>141</v>
      </c>
      <c r="CO4" s="510"/>
      <c r="CQ4" s="504" t="s">
        <v>311</v>
      </c>
      <c r="CR4" s="505"/>
      <c r="CS4" s="505"/>
      <c r="CT4" s="505"/>
      <c r="CU4" s="505"/>
      <c r="CV4" s="506"/>
      <c r="CX4" s="80" t="s">
        <v>328</v>
      </c>
      <c r="CY4" s="79" t="s">
        <v>329</v>
      </c>
      <c r="CZ4" s="79" t="s">
        <v>330</v>
      </c>
      <c r="DA4" s="81" t="s">
        <v>328</v>
      </c>
      <c r="DB4" s="79" t="s">
        <v>329</v>
      </c>
      <c r="DC4" s="94" t="s">
        <v>330</v>
      </c>
      <c r="DD4" s="95"/>
      <c r="DE4" s="463" t="s">
        <v>336</v>
      </c>
      <c r="DF4" s="464"/>
      <c r="DG4" s="465"/>
      <c r="DH4" s="466" t="s">
        <v>120</v>
      </c>
      <c r="DI4" s="467"/>
      <c r="DJ4" s="468"/>
      <c r="DK4" s="466" t="s">
        <v>121</v>
      </c>
      <c r="DL4" s="467"/>
      <c r="DM4" s="468"/>
      <c r="DN4" s="103"/>
      <c r="DO4" s="463" t="s">
        <v>336</v>
      </c>
      <c r="DP4" s="464"/>
      <c r="DQ4" s="465"/>
      <c r="DR4" s="466" t="s">
        <v>120</v>
      </c>
      <c r="DS4" s="467"/>
      <c r="DT4" s="468"/>
      <c r="DU4" s="466" t="s">
        <v>121</v>
      </c>
      <c r="DV4" s="467"/>
      <c r="DW4" s="468"/>
      <c r="DX4" s="463" t="s">
        <v>336</v>
      </c>
      <c r="DY4" s="464"/>
      <c r="DZ4" s="465"/>
      <c r="EA4" s="466" t="s">
        <v>120</v>
      </c>
      <c r="EB4" s="467"/>
      <c r="EC4" s="468"/>
      <c r="ED4" s="466" t="s">
        <v>121</v>
      </c>
      <c r="EE4" s="467"/>
      <c r="EF4" s="468"/>
      <c r="EG4" s="463" t="s">
        <v>336</v>
      </c>
      <c r="EH4" s="464"/>
      <c r="EI4" s="465"/>
      <c r="EJ4" s="466" t="s">
        <v>120</v>
      </c>
      <c r="EK4" s="467"/>
      <c r="EL4" s="468"/>
      <c r="EM4" s="466" t="s">
        <v>121</v>
      </c>
      <c r="EN4" s="467"/>
      <c r="EO4" s="468"/>
      <c r="EQ4" s="543"/>
      <c r="ER4" s="544"/>
      <c r="ES4" s="545"/>
      <c r="EU4" s="550" t="s">
        <v>352</v>
      </c>
      <c r="EV4" s="550"/>
      <c r="EW4" s="550"/>
    </row>
    <row r="5" spans="1:153" ht="37.5" customHeight="1" thickTop="1" thickBot="1" x14ac:dyDescent="0.35">
      <c r="A5" s="404" t="s">
        <v>35</v>
      </c>
      <c r="B5" s="405" t="s">
        <v>36</v>
      </c>
      <c r="C5" s="405" t="s">
        <v>37</v>
      </c>
      <c r="D5" s="406" t="s">
        <v>38</v>
      </c>
      <c r="E5" s="406" t="s">
        <v>39</v>
      </c>
      <c r="F5" s="406" t="s">
        <v>40</v>
      </c>
      <c r="G5" s="406" t="s">
        <v>41</v>
      </c>
      <c r="H5" s="406" t="s">
        <v>42</v>
      </c>
      <c r="I5" s="407" t="s">
        <v>43</v>
      </c>
      <c r="J5" s="408" t="s">
        <v>44</v>
      </c>
      <c r="K5" s="406" t="s">
        <v>45</v>
      </c>
      <c r="L5" s="406" t="s">
        <v>46</v>
      </c>
      <c r="M5" s="409" t="s">
        <v>47</v>
      </c>
      <c r="N5" s="409" t="s">
        <v>634</v>
      </c>
      <c r="O5" s="410" t="s">
        <v>48</v>
      </c>
      <c r="Q5" s="515"/>
      <c r="R5" s="517"/>
      <c r="S5" s="517"/>
      <c r="T5" s="519"/>
      <c r="V5" s="45" t="s">
        <v>14</v>
      </c>
      <c r="W5" s="46" t="s">
        <v>15</v>
      </c>
      <c r="X5" s="45" t="s">
        <v>14</v>
      </c>
      <c r="Y5" s="46" t="s">
        <v>15</v>
      </c>
      <c r="Z5" s="45" t="s">
        <v>14</v>
      </c>
      <c r="AA5" s="46" t="s">
        <v>15</v>
      </c>
      <c r="AB5" s="45" t="s">
        <v>14</v>
      </c>
      <c r="AC5" s="46" t="s">
        <v>15</v>
      </c>
      <c r="AD5" s="45" t="s">
        <v>14</v>
      </c>
      <c r="AE5" s="46" t="s">
        <v>15</v>
      </c>
      <c r="AF5" s="45" t="s">
        <v>14</v>
      </c>
      <c r="AG5" s="46" t="s">
        <v>15</v>
      </c>
      <c r="AH5" s="45" t="s">
        <v>14</v>
      </c>
      <c r="AI5" s="46" t="s">
        <v>15</v>
      </c>
      <c r="AJ5" s="45" t="s">
        <v>14</v>
      </c>
      <c r="AK5" s="46" t="s">
        <v>15</v>
      </c>
      <c r="AL5" s="45" t="s">
        <v>14</v>
      </c>
      <c r="AM5" s="46" t="s">
        <v>15</v>
      </c>
      <c r="AN5" s="45" t="s">
        <v>14</v>
      </c>
      <c r="AO5" s="46" t="s">
        <v>15</v>
      </c>
      <c r="AP5" s="45" t="s">
        <v>14</v>
      </c>
      <c r="AQ5" s="46" t="s">
        <v>15</v>
      </c>
      <c r="AR5" s="45" t="s">
        <v>14</v>
      </c>
      <c r="AS5" s="46" t="s">
        <v>15</v>
      </c>
      <c r="AT5" s="45" t="s">
        <v>14</v>
      </c>
      <c r="AU5" s="46" t="s">
        <v>15</v>
      </c>
      <c r="AV5" s="45" t="s">
        <v>14</v>
      </c>
      <c r="AW5" s="46" t="s">
        <v>15</v>
      </c>
      <c r="AX5" s="45" t="s">
        <v>14</v>
      </c>
      <c r="AY5" s="46" t="s">
        <v>15</v>
      </c>
      <c r="AZ5" s="45" t="s">
        <v>14</v>
      </c>
      <c r="BA5" s="46" t="s">
        <v>15</v>
      </c>
      <c r="BB5" s="45" t="s">
        <v>14</v>
      </c>
      <c r="BC5" s="46" t="s">
        <v>15</v>
      </c>
      <c r="BD5" s="45" t="s">
        <v>14</v>
      </c>
      <c r="BE5" s="46" t="s">
        <v>15</v>
      </c>
      <c r="BF5" s="45" t="s">
        <v>14</v>
      </c>
      <c r="BG5" s="46" t="s">
        <v>15</v>
      </c>
      <c r="BH5" s="45" t="s">
        <v>14</v>
      </c>
      <c r="BI5" s="46" t="s">
        <v>15</v>
      </c>
      <c r="BJ5" s="45" t="s">
        <v>14</v>
      </c>
      <c r="BK5" s="46" t="s">
        <v>15</v>
      </c>
      <c r="BL5" s="45" t="s">
        <v>14</v>
      </c>
      <c r="BM5" s="46" t="s">
        <v>15</v>
      </c>
      <c r="BN5" s="45" t="s">
        <v>14</v>
      </c>
      <c r="BO5" s="46" t="s">
        <v>15</v>
      </c>
      <c r="BP5" s="45" t="s">
        <v>14</v>
      </c>
      <c r="BQ5" s="46" t="s">
        <v>15</v>
      </c>
      <c r="BR5" s="45" t="s">
        <v>14</v>
      </c>
      <c r="BS5" s="46" t="s">
        <v>15</v>
      </c>
      <c r="BT5" s="45" t="s">
        <v>14</v>
      </c>
      <c r="BU5" s="46" t="s">
        <v>15</v>
      </c>
      <c r="BV5" s="45" t="s">
        <v>14</v>
      </c>
      <c r="BW5" s="46" t="s">
        <v>15</v>
      </c>
      <c r="BX5" s="45" t="s">
        <v>14</v>
      </c>
      <c r="BY5" s="46" t="s">
        <v>15</v>
      </c>
      <c r="BZ5" s="45" t="s">
        <v>14</v>
      </c>
      <c r="CA5" s="46" t="s">
        <v>15</v>
      </c>
      <c r="CB5" s="45" t="s">
        <v>14</v>
      </c>
      <c r="CC5" s="46" t="s">
        <v>15</v>
      </c>
      <c r="CD5" s="45" t="s">
        <v>14</v>
      </c>
      <c r="CE5" s="46" t="s">
        <v>15</v>
      </c>
      <c r="CF5" s="45" t="s">
        <v>14</v>
      </c>
      <c r="CG5" s="46" t="s">
        <v>15</v>
      </c>
      <c r="CH5" s="45" t="s">
        <v>14</v>
      </c>
      <c r="CI5" s="46" t="s">
        <v>15</v>
      </c>
      <c r="CJ5" s="45" t="s">
        <v>14</v>
      </c>
      <c r="CK5" s="46" t="s">
        <v>15</v>
      </c>
      <c r="CL5" s="45" t="s">
        <v>14</v>
      </c>
      <c r="CM5" s="46" t="s">
        <v>15</v>
      </c>
      <c r="CN5" s="45" t="s">
        <v>14</v>
      </c>
      <c r="CO5" s="46" t="s">
        <v>15</v>
      </c>
      <c r="CQ5" s="75" t="s">
        <v>305</v>
      </c>
      <c r="CR5" s="76" t="s">
        <v>306</v>
      </c>
      <c r="CS5" s="76" t="s">
        <v>307</v>
      </c>
      <c r="CT5" s="76" t="s">
        <v>308</v>
      </c>
      <c r="CU5" s="77" t="s">
        <v>309</v>
      </c>
      <c r="CV5" s="78" t="s">
        <v>310</v>
      </c>
      <c r="CX5" s="482" t="s">
        <v>331</v>
      </c>
      <c r="CY5" s="483"/>
      <c r="CZ5" s="484"/>
      <c r="DA5" s="485" t="s">
        <v>332</v>
      </c>
      <c r="DB5" s="483"/>
      <c r="DC5" s="486"/>
      <c r="DD5" s="96"/>
      <c r="DE5" s="98">
        <v>200</v>
      </c>
      <c r="DF5" s="98">
        <v>250</v>
      </c>
      <c r="DG5" s="98">
        <v>300</v>
      </c>
      <c r="DH5" s="99">
        <v>200</v>
      </c>
      <c r="DI5" s="99">
        <v>250</v>
      </c>
      <c r="DJ5" s="99">
        <v>300</v>
      </c>
      <c r="DK5" s="99">
        <v>200</v>
      </c>
      <c r="DL5" s="99">
        <v>250</v>
      </c>
      <c r="DM5" s="99">
        <v>300</v>
      </c>
      <c r="DN5" s="104"/>
      <c r="DO5" s="98">
        <v>200</v>
      </c>
      <c r="DP5" s="98">
        <v>250</v>
      </c>
      <c r="DQ5" s="98">
        <v>300</v>
      </c>
      <c r="DR5" s="99">
        <v>200</v>
      </c>
      <c r="DS5" s="99">
        <v>250</v>
      </c>
      <c r="DT5" s="99">
        <v>300</v>
      </c>
      <c r="DU5" s="99">
        <v>200</v>
      </c>
      <c r="DV5" s="99">
        <v>250</v>
      </c>
      <c r="DW5" s="99">
        <v>300</v>
      </c>
      <c r="DX5" s="98">
        <v>200</v>
      </c>
      <c r="DY5" s="98">
        <v>250</v>
      </c>
      <c r="DZ5" s="98">
        <v>300</v>
      </c>
      <c r="EA5" s="99">
        <v>200</v>
      </c>
      <c r="EB5" s="99">
        <v>250</v>
      </c>
      <c r="EC5" s="99">
        <v>300</v>
      </c>
      <c r="ED5" s="99">
        <v>200</v>
      </c>
      <c r="EE5" s="99">
        <v>250</v>
      </c>
      <c r="EF5" s="99">
        <v>300</v>
      </c>
      <c r="EG5" s="98">
        <v>200</v>
      </c>
      <c r="EH5" s="98">
        <v>250</v>
      </c>
      <c r="EI5" s="98">
        <v>300</v>
      </c>
      <c r="EJ5" s="99">
        <v>200</v>
      </c>
      <c r="EK5" s="99">
        <v>250</v>
      </c>
      <c r="EL5" s="99">
        <v>300</v>
      </c>
      <c r="EM5" s="99">
        <v>200</v>
      </c>
      <c r="EN5" s="99">
        <v>250</v>
      </c>
      <c r="EO5" s="99">
        <v>300</v>
      </c>
      <c r="EQ5" s="75">
        <v>200</v>
      </c>
      <c r="ER5" s="76">
        <v>250</v>
      </c>
      <c r="ES5" s="114">
        <v>315</v>
      </c>
      <c r="EU5" s="132">
        <v>200</v>
      </c>
      <c r="EV5" s="132">
        <v>250</v>
      </c>
      <c r="EW5" s="133">
        <v>315</v>
      </c>
    </row>
    <row r="6" spans="1:153" ht="15.75" thickBot="1" x14ac:dyDescent="0.3">
      <c r="A6" s="37"/>
      <c r="B6" s="201" t="s">
        <v>440</v>
      </c>
      <c r="C6" s="201" t="s">
        <v>442</v>
      </c>
      <c r="D6" s="38">
        <f>VLOOKUP(B6,'BASE DE DATOS'!$B$3:$E$106,2,FALSE)</f>
        <v>38.86</v>
      </c>
      <c r="E6" s="38">
        <f>VLOOKUP(B6,'BASE DE DATOS'!$B$3:$E$106,4,FALSE)</f>
        <v>1.2000000000000028</v>
      </c>
      <c r="F6" s="38">
        <f>VLOOKUP(C6,'BASE DE DATOS'!$B$3:$E$106,2,FALSE)</f>
        <v>38.659999999999997</v>
      </c>
      <c r="G6" s="38">
        <f>VLOOKUP(C6,'BASE DE DATOS'!$B$3:$E$106,4,FALSE)</f>
        <v>1.3199999999999932</v>
      </c>
      <c r="H6" s="39">
        <f>(E6+G6)/2</f>
        <v>1.259999999999998</v>
      </c>
      <c r="I6" s="201">
        <v>38.64</v>
      </c>
      <c r="J6" s="40">
        <f>ROUND((I6^2+(E6-G6)^2)^0.5,2)</f>
        <v>38.64</v>
      </c>
      <c r="K6" s="40">
        <f>ROUND(((I6-1.6)^2+(D6-E6-F6+G6)^2)^0.5,2)</f>
        <v>37.04</v>
      </c>
      <c r="L6" s="40">
        <f>ROUND(((I6-1.2)^2+(D6-E6-F6+G6)^2)^0.5,2)</f>
        <v>37.44</v>
      </c>
      <c r="M6" s="40">
        <f>IF(OR(P6=192.2,P6=187.6,P6=203.2)=TRUE,200,IF(P6=234.6,250,IF(P6=295.6,315,"-")))</f>
        <v>200</v>
      </c>
      <c r="N6" s="40">
        <f>ROUND((I6^2+(D6-F6)^2)^0.5,2)</f>
        <v>38.64</v>
      </c>
      <c r="O6" s="201" t="s">
        <v>120</v>
      </c>
      <c r="P6" s="19">
        <v>187.6</v>
      </c>
      <c r="Q6" s="202" t="s">
        <v>122</v>
      </c>
      <c r="R6" s="202" t="s">
        <v>133</v>
      </c>
      <c r="S6" s="202" t="s">
        <v>147</v>
      </c>
      <c r="T6" s="202" t="s">
        <v>146</v>
      </c>
      <c r="V6" s="48" t="str">
        <f t="shared" ref="V6:V16" si="0">IF(AND($H6&lt;=1.25,$Q6="R",$R6="NO",$T6="E",$M6&gt;=200,$M6&lt;=250)=TRUE,$K6,"-")</f>
        <v>-</v>
      </c>
      <c r="W6" s="49" t="str">
        <f t="shared" ref="W6:W16" si="1">IF(AND($H6&lt;=1.25,$Q6="P",$R6="NO",$T6="E",$M6&gt;=200,$M6&lt;=250)=TRUE,$K6,"-")</f>
        <v>-</v>
      </c>
      <c r="X6" s="49">
        <f t="shared" ref="X6:X16" si="2">IF(AND(1.25&lt;$H6,$H6&lt;=1.5,$Q6="R",$R6="NO",$T6="E",$M6&gt;=200,$M6&lt;=250)=TRUE,$K6,"-")</f>
        <v>37.04</v>
      </c>
      <c r="Y6" s="49" t="str">
        <f t="shared" ref="Y6:Y16" si="3">IF(AND(1.25&lt;$H6,$H6&lt;=1.5,$Q6="P",$R6="NO",$T6="E",$M6&gt;=200,$M6&lt;=250)=TRUE,$K6,"-")</f>
        <v>-</v>
      </c>
      <c r="Z6" s="49" t="str">
        <f t="shared" ref="Z6:Z16" si="4">IF(AND(1.5&lt;$H6,$H6&lt;=1.75,$Q6="R",$R6="NO",$T6="E",$M6&gt;=200,$M6&lt;=250)=TRUE,$K6,"-")</f>
        <v>-</v>
      </c>
      <c r="AA6" s="49" t="str">
        <f t="shared" ref="AA6:AA16" si="5">IF(AND(1.5&lt;$H6,$H6&lt;=1.75,$Q6="P",$R6="NO",$T6="E",$M6&gt;=200,$M6&lt;=250)=TRUE,$K6,"-")</f>
        <v>-</v>
      </c>
      <c r="AB6" s="49" t="str">
        <f t="shared" ref="AB6:AB16" si="6">IF(AND(1.75&lt;$H6,$H6&lt;=2,$Q6="R",$R6="NO",$T6="E",$M6&gt;=200,$M6&lt;=250)=TRUE,$K6,"-")</f>
        <v>-</v>
      </c>
      <c r="AC6" s="49" t="str">
        <f t="shared" ref="AC6:AC16" si="7">IF(AND(1.75&lt;$H6,$H6&lt;=2,$Q6="P",$R6="NO",$T6="E",$M6&gt;=200,$M6&lt;=250)=TRUE,$K6,"-")</f>
        <v>-</v>
      </c>
      <c r="AD6" s="49" t="str">
        <f t="shared" ref="AD6:AD16" si="8">IF(AND(2&lt;$H6,$H6&lt;=2.5,$Q6="R",$R6="NO",$T6="E",$M6&gt;=200,$M6&lt;=250)=TRUE,$K6,"-")</f>
        <v>-</v>
      </c>
      <c r="AE6" s="49" t="str">
        <f t="shared" ref="AE6:AE16" si="9">IF(AND(2&lt;$H6,$H6&lt;=2.5,$Q6="P",$R6="NO",$T6="E",$M6&gt;=200,$M6&lt;=250)=TRUE,$K6,"-")</f>
        <v>-</v>
      </c>
      <c r="AF6" s="49" t="str">
        <f t="shared" ref="AF6:AF16" si="10">IF(AND(2.5&lt;$H6,$H6&lt;=3,$Q6="R",$R6="NO",$T6="E",$M6&gt;=200,$M6&lt;=250)=TRUE,$K6,"-")</f>
        <v>-</v>
      </c>
      <c r="AG6" s="49" t="str">
        <f t="shared" ref="AG6:AG16" si="11">IF(AND(2.5&lt;$H6,$H6&lt;=3,$Q6="P",$R6="NO",$T6="E",$M6&gt;=200,$M6&lt;=250)=TRUE,$K6,"-")</f>
        <v>-</v>
      </c>
      <c r="AH6" s="49" t="str">
        <f t="shared" ref="AH6:AH16" si="12">IF(AND(3&lt;$H6,$H6&lt;=3.5,$Q6="R",$R6="NO",$T6="E",$M6&gt;=200,$M6&lt;=250)=TRUE,$K6,"-")</f>
        <v>-</v>
      </c>
      <c r="AI6" s="49" t="str">
        <f t="shared" ref="AI6:AI16" si="13">IF(AND(3&lt;$H6,$H6&lt;=3.5,$Q6="P",$R6="NO",$T6="E",$M6&gt;=200,$M6&lt;=250)=TRUE,$K6,"-")</f>
        <v>-</v>
      </c>
      <c r="AJ6" s="49" t="str">
        <f t="shared" ref="AJ6:AJ16" si="14">IF(AND(3.5&lt;$H6,$H6&lt;=4,$Q6="R",$R6="NO",$T6="E",$M6&gt;=200,$M6&lt;=250)=TRUE,$K6,"-")</f>
        <v>-</v>
      </c>
      <c r="AK6" s="49" t="str">
        <f t="shared" ref="AK6:AK16" si="15">IF(AND(3.5&lt;$H6,$H6&lt;=4,$Q6="P",$R6="NO",$T6="E",$M6&gt;=200,$M6&lt;=250)=TRUE,$K6,"-")</f>
        <v>-</v>
      </c>
      <c r="AL6" s="49" t="str">
        <f t="shared" ref="AL6:AL16" si="16">IF(AND(5&lt;$H6,$H6&lt;=6,$Q6="R",$R6="NO",$T6="E",$M6&gt;=200,$M6&lt;=250)=TRUE,$K6,"-")</f>
        <v>-</v>
      </c>
      <c r="AM6" s="50" t="str">
        <f t="shared" ref="AM6:AM16" si="17">IF(AND(5&lt;$H6,$H6&lt;=6,$Q6="P",$R6="NO",$T6="E",$M6&gt;=200,$M6&lt;=250)=TRUE,$K6,"-")</f>
        <v>-</v>
      </c>
      <c r="AN6" s="48" t="str">
        <f t="shared" ref="AN6:AN16" si="18">IF(AND($H6&lt;=1.25,$Q6="R",$R6="NO",$T6="E",$M6&gt;=300,$M6&lt;=350)=TRUE,$K6,"-")</f>
        <v>-</v>
      </c>
      <c r="AO6" s="49" t="str">
        <f t="shared" ref="AO6:AO16" si="19">IF(AND($H6&lt;=1.25,$Q6="P",$R6="NO",$T6="E",$M6&gt;=300,$M6&lt;=350)=TRUE,$K6,"-")</f>
        <v>-</v>
      </c>
      <c r="AP6" s="49" t="str">
        <f t="shared" ref="AP6:AP16" si="20">IF(AND(1.25&lt;$H6,$H6&lt;=1.5,$Q6="R",$R6="NO",$T6="E",$M6&gt;=300,$M6&lt;=350)=TRUE,$K6,"-")</f>
        <v>-</v>
      </c>
      <c r="AQ6" s="49" t="str">
        <f t="shared" ref="AQ6:AQ16" si="21">IF(AND(1.25&lt;$H6,$H6&lt;=1.5,$Q6="P",$R6="NO",$T6="E",$M6&gt;=300,$M6&lt;=350)=TRUE,$K6,"-")</f>
        <v>-</v>
      </c>
      <c r="AR6" s="49" t="str">
        <f t="shared" ref="AR6:AR16" si="22">IF(AND(1.5&lt;$H6,$H6&lt;=1.75,$Q6="R",$R6="NO",$T6="E",$M6&gt;=300,$M6&lt;=350)=TRUE,$K6,"-")</f>
        <v>-</v>
      </c>
      <c r="AS6" s="49" t="str">
        <f t="shared" ref="AS6:AS16" si="23">IF(AND(1.5&lt;$H6,$H6&lt;=1.75,$Q6="P",$R6="NO",$T6="E",$M6&gt;=300,$M6&lt;=350)=TRUE,$K6,"-")</f>
        <v>-</v>
      </c>
      <c r="AT6" s="49" t="str">
        <f t="shared" ref="AT6:AT16" si="24">IF(AND(1.75&lt;$H6,$H6&lt;=2,$Q6="R",$R6="NO",$T6="E",$M6&gt;=300,$M6&lt;=350)=TRUE,$K6,"-")</f>
        <v>-</v>
      </c>
      <c r="AU6" s="49" t="str">
        <f t="shared" ref="AU6:AU16" si="25">IF(AND(1.75&lt;$H6,$H6&lt;=2,$Q6="P",$R6="NO",$T6="E",$M6&gt;=300,$M6&lt;=350)=TRUE,$K6,"-")</f>
        <v>-</v>
      </c>
      <c r="AV6" s="49" t="str">
        <f t="shared" ref="AV6:AV16" si="26">IF(AND(2&lt;$H6,$H6&lt;=2.5,$Q6="R",$R6="NO",$T6="E",$M6&gt;=300,$M6&lt;=350)=TRUE,$K6,"-")</f>
        <v>-</v>
      </c>
      <c r="AW6" s="49" t="str">
        <f t="shared" ref="AW6:AW16" si="27">IF(AND(2&lt;$H6,$H6&lt;=2.5,$Q6="P",$R6="NO",$T6="E",$M6&gt;=300,$M6&lt;=350)=TRUE,$K6,"-")</f>
        <v>-</v>
      </c>
      <c r="AX6" s="49" t="str">
        <f t="shared" ref="AX6:AX16" si="28">IF(AND(2.5&lt;$H6,$H6&lt;=3,$Q6="R",$R6="NO",$T6="E",$M6&gt;=300,$M6&lt;=350)=TRUE,$K6,"-")</f>
        <v>-</v>
      </c>
      <c r="AY6" s="49" t="str">
        <f t="shared" ref="AY6:AY16" si="29">IF(AND(2.5&lt;$H6,$H6&lt;=3,$Q6="P",$R6="NO",$T6="E",$M6&gt;=300,$M6&lt;=350)=TRUE,$K6,"-")</f>
        <v>-</v>
      </c>
      <c r="AZ6" s="49" t="str">
        <f t="shared" ref="AZ6:AZ16" si="30">IF(AND(3&lt;$H6,$H6&lt;=3.5,$Q6="R",$R6="NO",$T6="E",$M6&gt;=300,$M6&lt;=350)=TRUE,$K6,"-")</f>
        <v>-</v>
      </c>
      <c r="BA6" s="49" t="str">
        <f t="shared" ref="BA6:BA16" si="31">IF(AND(3&lt;$H6,$H6&lt;=3.5,$Q6="P",$R6="NO",$T6="E",$M6&gt;=300,$M6&lt;=350)=TRUE,$K6,"-")</f>
        <v>-</v>
      </c>
      <c r="BB6" s="49" t="str">
        <f t="shared" ref="BB6:BB16" si="32">IF(AND(3.5&lt;$H6,$H6&lt;=4,$Q6="R",$R6="NO",$T6="E",$M6&gt;=300,$M6&lt;=350)=TRUE,$K6,"-")</f>
        <v>-</v>
      </c>
      <c r="BC6" s="49" t="str">
        <f t="shared" ref="BC6:BC16" si="33">IF(AND(3.5&lt;$H6,$H6&lt;=4,$Q6="P",$R6="NO",$T6="E",$M6&gt;=300,$M6&lt;=350)=TRUE,$K6,"-")</f>
        <v>-</v>
      </c>
      <c r="BD6" s="49" t="str">
        <f t="shared" ref="BD6:BD16" si="34">IF(AND(5&lt;$H6,$H6&lt;=6,$Q6="R",$R6="NO",$T6="E",$M6&gt;=300,$M6&lt;=350)=TRUE,$K6,"-")</f>
        <v>-</v>
      </c>
      <c r="BE6" s="50" t="str">
        <f t="shared" ref="BE6:BE16" si="35">IF(AND(5&lt;$H6,$H6&lt;=6,$Q6="P",$R6="NO",$T6="E",$M6&gt;=300,$M6&lt;=350)=TRUE,$K6,"-")</f>
        <v>-</v>
      </c>
      <c r="BF6" s="48" t="str">
        <f t="shared" ref="BF6:BF16" si="36">IF(AND($H6&lt;=1.25,$Q6="R",$R6="NO",$T6="M",$M6&gt;=200,$M6&lt;=250)=TRUE,$K6,"-")</f>
        <v>-</v>
      </c>
      <c r="BG6" s="49" t="str">
        <f t="shared" ref="BG6:BG16" si="37">IF(AND($H6&lt;=1.25,$Q6="P",$R6="NO",$T6="M",$M6&gt;=200,$M6&lt;=250)=TRUE,$K6,"-")</f>
        <v>-</v>
      </c>
      <c r="BH6" s="49" t="str">
        <f t="shared" ref="BH6:BH16" si="38">IF(AND(1.25&lt;$H6,$H6&lt;=1.5,$Q6="R",$R6="NO",$T6="M",$M6&gt;=200,$M6&lt;=250)=TRUE,$K6,"-")</f>
        <v>-</v>
      </c>
      <c r="BI6" s="49" t="str">
        <f t="shared" ref="BI6:BI16" si="39">IF(AND(1.25&lt;$H6,$H6&lt;=1.5,$Q6="P",$R6="NO",$T6="M",$M6&gt;=200,$M6&lt;=250)=TRUE,$K6,"-")</f>
        <v>-</v>
      </c>
      <c r="BJ6" s="49" t="str">
        <f t="shared" ref="BJ6:BJ16" si="40">IF(AND(1.5&lt;$H6,$H6&lt;=1.75,$Q6="R",$R6="NO",$T6="M",$M6&gt;=200,$M6&lt;=250)=TRUE,$K6,"-")</f>
        <v>-</v>
      </c>
      <c r="BK6" s="49" t="str">
        <f t="shared" ref="BK6:BK16" si="41">IF(AND(1.5&lt;$H6,$H6&lt;=1.75,$Q6="P",$R6="NO",$T6="M",$M6&gt;=200,$M6&lt;=250)=TRUE,$K6,"-")</f>
        <v>-</v>
      </c>
      <c r="BL6" s="49" t="str">
        <f t="shared" ref="BL6:BL16" si="42">IF(AND(1.75&lt;$H6,$H6&lt;=2,$Q6="R",$R6="NO",$T6="M",$M6&gt;=200,$M6&lt;=250)=TRUE,$K6,"-")</f>
        <v>-</v>
      </c>
      <c r="BM6" s="49" t="str">
        <f t="shared" ref="BM6:BM16" si="43">IF(AND(1.75&lt;$H6,$H6&lt;=2,$Q6="P",$R6="NO",$T6="M",$M6&gt;=200,$M6&lt;=250)=TRUE,$K6,"-")</f>
        <v>-</v>
      </c>
      <c r="BN6" s="49" t="str">
        <f t="shared" ref="BN6:BN16" si="44">IF(AND(2&lt;$H6,$H6&lt;=2.5,$Q6="R",$R6="NO",$T6="M",$M6&gt;=200,$M6&lt;=250)=TRUE,$K6,"-")</f>
        <v>-</v>
      </c>
      <c r="BO6" s="49" t="str">
        <f t="shared" ref="BO6:BO16" si="45">IF(AND(2&lt;$H6,$H6&lt;=2.5,$Q6="P",$R6="NO",$T6="M",$M6&gt;=200,$M6&lt;=250)=TRUE,$K6,"-")</f>
        <v>-</v>
      </c>
      <c r="BP6" s="49" t="str">
        <f t="shared" ref="BP6:BP16" si="46">IF(AND(2.5&lt;$H6,$H6&lt;=3,$Q6="R",$R6="NO",$T6="M",$M6&gt;=200,$M6&lt;=250)=TRUE,$K6,"-")</f>
        <v>-</v>
      </c>
      <c r="BQ6" s="49" t="str">
        <f t="shared" ref="BQ6:BQ16" si="47">IF(AND(2.5&lt;$H6,$H6&lt;=3,$Q6="P",$R6="NO",$T6="M",$M6&gt;=200,$M6&lt;=250)=TRUE,$K6,"-")</f>
        <v>-</v>
      </c>
      <c r="BR6" s="49" t="str">
        <f t="shared" ref="BR6:BR16" si="48">IF(AND(3&lt;$H6,$H6&lt;=3.5,$Q6="R",$R6="NO",$T6="M",$M6&gt;=200,$M6&lt;=250)=TRUE,$K6,"-")</f>
        <v>-</v>
      </c>
      <c r="BS6" s="49" t="str">
        <f t="shared" ref="BS6:BS16" si="49">IF(AND(3&lt;$H6,$H6&lt;=3.5,$Q6="P",$R6="NO",$T6="M",$M6&gt;=200,$M6&lt;=250)=TRUE,$K6,"-")</f>
        <v>-</v>
      </c>
      <c r="BT6" s="49" t="str">
        <f t="shared" ref="BT6:BT16" si="50">IF(AND(3.5&lt;$H6,$H6&lt;=4,$Q6="R",$R6="NO",$T6="M",$M6&gt;=200,$M6&lt;=250)=TRUE,$K6,"-")</f>
        <v>-</v>
      </c>
      <c r="BU6" s="49" t="str">
        <f t="shared" ref="BU6:BU16" si="51">IF(AND(3.5&lt;$H6,$H6&lt;=4,$Q6="P",$R6="NO",$T6="M",$M6&gt;=200,$M6&lt;=250)=TRUE,$K6,"-")</f>
        <v>-</v>
      </c>
      <c r="BV6" s="49" t="str">
        <f t="shared" ref="BV6:BV16" si="52">IF(AND(5&lt;$H6,$H6&lt;=6,$Q6="R",$R6="NO",$T6="M",$M6&gt;=200,$M6&lt;=250)=TRUE,$K6,"-")</f>
        <v>-</v>
      </c>
      <c r="BW6" s="50" t="str">
        <f t="shared" ref="BW6:BW16" si="53">IF(AND(5&lt;$H6,$H6&lt;=6,$Q6="P",$R6="NO",$T6="M",$M6&gt;=200,$M6&lt;=250)=TRUE,$K6,"-")</f>
        <v>-</v>
      </c>
      <c r="BX6" s="48" t="str">
        <f t="shared" ref="BX6:BX16" si="54">IF(AND($H6&lt;=1.25,$Q6="R",$R6="NO",$T6="M",$M6&gt;=300,$M6&lt;=350)=TRUE,$K6,"-")</f>
        <v>-</v>
      </c>
      <c r="BY6" s="49" t="str">
        <f t="shared" ref="BY6:BY16" si="55">IF(AND($H6&lt;=1.25,$Q6="P",$R6="NO",$T6="M",$M6&gt;=300,$M6&lt;=350)=TRUE,$K6,"-")</f>
        <v>-</v>
      </c>
      <c r="BZ6" s="49" t="str">
        <f t="shared" ref="BZ6:BZ16" si="56">IF(AND(1.25&lt;$H6,$H6&lt;=1.5,$Q6="R",$R6="NO",$T6="M",$M6&gt;=300,$M6&lt;=350)=TRUE,$K6,"-")</f>
        <v>-</v>
      </c>
      <c r="CA6" s="49" t="str">
        <f t="shared" ref="CA6:CA16" si="57">IF(AND(1.25&lt;$H6,$H6&lt;=1.5,$Q6="P",$R6="NO",$T6="M",$M6&gt;=300,$M6&lt;=350)=TRUE,$K6,"-")</f>
        <v>-</v>
      </c>
      <c r="CB6" s="49" t="str">
        <f t="shared" ref="CB6:CB16" si="58">IF(AND(1.5&lt;$H6,$H6&lt;=1.75,$Q6="R",$R6="NO",$T6="M",$M6&gt;=300,$M6&lt;=350)=TRUE,$K6,"-")</f>
        <v>-</v>
      </c>
      <c r="CC6" s="49" t="str">
        <f t="shared" ref="CC6:CC16" si="59">IF(AND(1.5&lt;$H6,$H6&lt;=1.75,$Q6="P",$R6="NO",$T6="M",$M6&gt;=300,$M6&lt;=350)=TRUE,$K6,"-")</f>
        <v>-</v>
      </c>
      <c r="CD6" s="49" t="str">
        <f t="shared" ref="CD6:CD16" si="60">IF(AND(1.75&lt;$H6,$H6&lt;=2,$Q6="R",$R6="NO",$T6="M",$M6&gt;=300,$M6&lt;=350)=TRUE,$K6,"-")</f>
        <v>-</v>
      </c>
      <c r="CE6" s="49" t="str">
        <f t="shared" ref="CE6:CE16" si="61">IF(AND(1.75&lt;$H6,$H6&lt;=2,$Q6="P",$R6="NO",$T6="M",$M6&gt;=300,$M6&lt;=350)=TRUE,$K6,"-")</f>
        <v>-</v>
      </c>
      <c r="CF6" s="49" t="str">
        <f t="shared" ref="CF6:CF16" si="62">IF(AND(2&lt;$H6,$H6&lt;=2.5,$Q6="R",$R6="NO",$T6="M",$M6&gt;=300,$M6&lt;=350)=TRUE,$K6,"-")</f>
        <v>-</v>
      </c>
      <c r="CG6" s="49" t="str">
        <f t="shared" ref="CG6:CG16" si="63">IF(AND(2&lt;$H6,$H6&lt;=2.5,$Q6="P",$R6="NO",$T6="M",$M6&gt;=300,$M6&lt;=350)=TRUE,$K6,"-")</f>
        <v>-</v>
      </c>
      <c r="CH6" s="49" t="str">
        <f t="shared" ref="CH6:CH16" si="64">IF(AND(2.5&lt;$H6,$H6&lt;=3,$Q6="R",$R6="NO",$T6="M",$M6&gt;=300,$M6&lt;=350)=TRUE,$K6,"-")</f>
        <v>-</v>
      </c>
      <c r="CI6" s="49" t="str">
        <f t="shared" ref="CI6:CI16" si="65">IF(AND(2.5&lt;$H6,$H6&lt;=3,$Q6="P",$R6="NO",$T6="M",$M6&gt;=300,$M6&lt;=350)=TRUE,$K6,"-")</f>
        <v>-</v>
      </c>
      <c r="CJ6" s="49" t="str">
        <f t="shared" ref="CJ6:CJ16" si="66">IF(AND(3&lt;$H6,$H6&lt;=3.5,$Q6="R",$R6="NO",$T6="M",$M6&gt;=300,$M6&lt;=350)=TRUE,$K6,"-")</f>
        <v>-</v>
      </c>
      <c r="CK6" s="49" t="str">
        <f t="shared" ref="CK6:CK16" si="67">IF(AND(3&lt;$H6,$H6&lt;=3.5,$Q6="P",$R6="NO",$T6="M",$M6&gt;=300,$M6&lt;=350)=TRUE,$K6,"-")</f>
        <v>-</v>
      </c>
      <c r="CL6" s="49" t="str">
        <f t="shared" ref="CL6:CL16" si="68">IF(AND(3.5&lt;$H6,$H6&lt;=4,$Q6="R",$R6="NO",$T6="M",$M6&gt;=300,$M6&lt;=350)=TRUE,$K6,"-")</f>
        <v>-</v>
      </c>
      <c r="CM6" s="49" t="str">
        <f t="shared" ref="CM6:CM16" si="69">IF(AND(3.5&lt;$H6,$H6&lt;=4,$Q6="P",$R6="NO",$T6="M",$M6&gt;=300,$M6&lt;=350)=TRUE,$K6,"-")</f>
        <v>-</v>
      </c>
      <c r="CN6" s="49" t="str">
        <f t="shared" ref="CN6:CN16" si="70">IF(AND(5&lt;$H6,$H6&lt;=6,$Q6="R",$R6="NO",$T6="M",$M6&gt;=300,$M6&lt;=350)=TRUE,$K6,"-")</f>
        <v>-</v>
      </c>
      <c r="CO6" s="50" t="str">
        <f t="shared" ref="CO6:CO16" si="71">IF(AND(5&lt;$H6,$H6&lt;=6,$Q6="P",$R6="NO",$T6="M",$M6&gt;=300,$M6&lt;=350)=TRUE,$K6,"-")</f>
        <v>-</v>
      </c>
      <c r="CQ6" s="304" t="str">
        <f>IF($S6="R",$N6,"-")</f>
        <v>-</v>
      </c>
      <c r="CR6" s="304">
        <f>IF($S6="F",$N6,"-")</f>
        <v>38.64</v>
      </c>
      <c r="CS6" s="304" t="str">
        <f>IF($S6="M",$N6,"-")</f>
        <v>-</v>
      </c>
      <c r="CT6" s="304" t="str">
        <f>IF($S6="V",$N6,"-")</f>
        <v>-</v>
      </c>
      <c r="CU6" s="304" t="str">
        <f>IF($S6="G",$N6,"-")</f>
        <v>-</v>
      </c>
      <c r="CV6" s="304" t="str">
        <f>IF($S6="A",$N6,"-")</f>
        <v>-</v>
      </c>
      <c r="CX6" s="91">
        <f t="shared" ref="CX6:CX37" si="72">IF(AND($Q6="R",$M6&gt;=200,$M6&lt;=250)=TRUE,$L6,"-")</f>
        <v>37.44</v>
      </c>
      <c r="CY6" s="92" t="str">
        <f t="shared" ref="CY6:CY37" si="73">IF(AND($Q6="p",$M6&gt;=200,$M6&lt;=250)=TRUE,$L6,"-")</f>
        <v>-</v>
      </c>
      <c r="CZ6" s="93" t="str">
        <f t="shared" ref="CZ6:CZ37" si="74">IF(AND($Q6="E",$M6&gt;=200,$M6&lt;=250)=TRUE,$L6,"-")</f>
        <v>-</v>
      </c>
      <c r="DA6" s="48" t="str">
        <f t="shared" ref="DA6:DA37" si="75">IF(AND($Q6="R",$M6&gt;=300,$M6&lt;=350)=TRUE,$L6,"-")</f>
        <v>-</v>
      </c>
      <c r="DB6" s="49" t="str">
        <f t="shared" ref="DB6:DB37" si="76">IF(AND($Q6="P",$M6&gt;=300,$M6&lt;=350)=TRUE,$L6,"-")</f>
        <v>-</v>
      </c>
      <c r="DC6" s="50" t="str">
        <f t="shared" ref="DC6:DC37" si="77">IF(AND($Q6="E",$M6&gt;=300,$M6&lt;=350)=TRUE,$L6,"-")</f>
        <v>-</v>
      </c>
      <c r="DD6" s="57"/>
      <c r="DE6" s="106" t="str">
        <f t="shared" ref="DE6:DE37" si="78">IF(AND($Q6="R",$M6=200,$O6="CSN")=TRUE,$L6,"-")</f>
        <v>-</v>
      </c>
      <c r="DF6" s="107" t="str">
        <f t="shared" ref="DF6:DF37" si="79">IF(AND($Q6="R",$M6=250,$O6="CSN")=TRUE,$L6,"-")</f>
        <v>-</v>
      </c>
      <c r="DG6" s="107" t="str">
        <f t="shared" ref="DG6:DG37" si="80">IF(AND($Q6="R",$M6=315,$O6="CSN")=TRUE,$L6,"-")</f>
        <v>-</v>
      </c>
      <c r="DH6" s="107">
        <f t="shared" ref="DH6:DH37" si="81">IF(AND($Q6="R",$M6=200,$O6="HDPE")=TRUE,$L6,"-")</f>
        <v>37.44</v>
      </c>
      <c r="DI6" s="107" t="str">
        <f t="shared" ref="DI6:DI37" si="82">IF(AND($Q6="R",$M6=250,$O6="HDPE")=TRUE,$L6,"-")</f>
        <v>-</v>
      </c>
      <c r="DJ6" s="107" t="str">
        <f t="shared" ref="DJ6:DJ37" si="83">IF(AND($Q6="R",$M6=315,$O6="HDPE")=TRUE,$L6,"-")</f>
        <v>-</v>
      </c>
      <c r="DK6" s="107" t="str">
        <f t="shared" ref="DK6:DK37" si="84">IF(AND($Q6="R",$M6=200,$O6="PVC")=TRUE,$L6,"-")</f>
        <v>-</v>
      </c>
      <c r="DL6" s="107" t="str">
        <f t="shared" ref="DL6:DL37" si="85">IF(AND($Q6="R",$M6=250,$O6="PVC")=TRUE,$L6,"-")</f>
        <v>-</v>
      </c>
      <c r="DM6" s="108" t="str">
        <f t="shared" ref="DM6:DM37" si="86">IF(AND($Q6="R",$M6=315,$O6="PVC")=TRUE,$L6,"-")</f>
        <v>-</v>
      </c>
      <c r="DN6" s="105"/>
      <c r="DO6" s="106" t="str">
        <f t="shared" ref="DO6:DO37" si="87">IF(AND($Q6="R",$M6=200,$O6="CSN")=TRUE,$L6,"-")</f>
        <v>-</v>
      </c>
      <c r="DP6" s="107" t="str">
        <f t="shared" ref="DP6:DP37" si="88">IF(AND($Q6="R",$M6=250,$O6="CSN")=TRUE,$L6,"-")</f>
        <v>-</v>
      </c>
      <c r="DQ6" s="107" t="str">
        <f t="shared" ref="DQ6:DQ37" si="89">IF(AND($Q6="R",$M6=315,$O6="CSN")=TRUE,$L6,"-")</f>
        <v>-</v>
      </c>
      <c r="DR6" s="107">
        <f t="shared" ref="DR6:DR37" si="90">IF(AND($Q6="R",$M6=200,$O6="HDPE")=TRUE,$L6,"-")</f>
        <v>37.44</v>
      </c>
      <c r="DS6" s="107" t="str">
        <f t="shared" ref="DS6:DS37" si="91">IF(AND($Q6="R",$M6=250,$O6="HDPE")=TRUE,$L6,"-")</f>
        <v>-</v>
      </c>
      <c r="DT6" s="107" t="str">
        <f t="shared" ref="DT6:DT37" si="92">IF(AND($Q6="R",$M6=315,$O6="HDPE")=TRUE,$L6,"-")</f>
        <v>-</v>
      </c>
      <c r="DU6" s="107" t="str">
        <f t="shared" ref="DU6:DU37" si="93">IF(AND($Q6="R",$M6=200,$O6="PVC")=TRUE,$L6,"-")</f>
        <v>-</v>
      </c>
      <c r="DV6" s="107" t="str">
        <f t="shared" ref="DV6:DV37" si="94">IF(AND($Q6="R",$M6=250,$O6="PVC")=TRUE,$L6,"-")</f>
        <v>-</v>
      </c>
      <c r="DW6" s="108" t="str">
        <f t="shared" ref="DW6:DW37" si="95">IF(AND($Q6="R",$M6=315,$O6="PVC")=TRUE,$L6,"-")</f>
        <v>-</v>
      </c>
      <c r="DX6" s="106" t="str">
        <f t="shared" ref="DX6:DX37" si="96">IF(AND($Q6="P",$M6=200,$O6="CSN")=TRUE,$I6,"-")</f>
        <v>-</v>
      </c>
      <c r="DY6" s="107" t="str">
        <f t="shared" ref="DY6:DY37" si="97">IF(AND($Q6="P",$M6=250,$O6="CSN")=TRUE,$I6,"-")</f>
        <v>-</v>
      </c>
      <c r="DZ6" s="107" t="str">
        <f t="shared" ref="DZ6:DZ37" si="98">IF(AND($Q6="P",$M6=315,$O6="CSN")=TRUE,$I6,"-")</f>
        <v>-</v>
      </c>
      <c r="EA6" s="107" t="str">
        <f t="shared" ref="EA6:EA37" si="99">IF(AND($Q6="P",$M6=200,$O6="HDPE")=TRUE,$I6,"-")</f>
        <v>-</v>
      </c>
      <c r="EB6" s="107" t="str">
        <f t="shared" ref="EB6:EB37" si="100">IF(AND($Q6="P",$M6=250,$O6="HDPE")=TRUE,$I6,"-")</f>
        <v>-</v>
      </c>
      <c r="EC6" s="107" t="str">
        <f t="shared" ref="EC6:EC37" si="101">IF(AND($Q6="P",$M6=315,$O6="HDPE")=TRUE,$I6,"-")</f>
        <v>-</v>
      </c>
      <c r="ED6" s="107" t="str">
        <f t="shared" ref="ED6:ED37" si="102">IF(AND($Q6="P",$M6=200,$O6="PVC")=TRUE,$I6,"-")</f>
        <v>-</v>
      </c>
      <c r="EE6" s="107" t="str">
        <f t="shared" ref="EE6:EE37" si="103">IF(AND($Q6="P",$M6=250,$O6="PVC")=TRUE,$I6,"-")</f>
        <v>-</v>
      </c>
      <c r="EF6" s="108" t="str">
        <f t="shared" ref="EF6:EF37" si="104">IF(AND($Q6="P",$M6=315,$O6="PVC")=TRUE,$I6,"-")</f>
        <v>-</v>
      </c>
      <c r="EG6" s="106" t="str">
        <f t="shared" ref="EG6:EG37" si="105">IF(AND($Q6="E",$M6=200,$O6="CSN")=TRUE,$I6,"-")</f>
        <v>-</v>
      </c>
      <c r="EH6" s="107" t="str">
        <f t="shared" ref="EH6:EH37" si="106">IF(AND($Q6="E",$M6=250,$O6="CSN")=TRUE,$I6,"-")</f>
        <v>-</v>
      </c>
      <c r="EI6" s="107" t="str">
        <f t="shared" ref="EI6:EI37" si="107">IF(AND($Q6="E",$M6=315,$O6="CSN")=TRUE,$I6,"-")</f>
        <v>-</v>
      </c>
      <c r="EJ6" s="107" t="str">
        <f t="shared" ref="EJ6:EJ37" si="108">IF(AND($Q6="E",$M6=200,$O6="HDPE")=TRUE,$I6,"-")</f>
        <v>-</v>
      </c>
      <c r="EK6" s="107" t="str">
        <f t="shared" ref="EK6:EK37" si="109">IF(AND($Q6="E",$M6=250,$O6="HDPE")=TRUE,$I6,"-")</f>
        <v>-</v>
      </c>
      <c r="EL6" s="107" t="str">
        <f t="shared" ref="EL6:EL37" si="110">IF(AND($Q6="E",$M6=315,$O6="HDPE")=TRUE,$I6,"-")</f>
        <v>-</v>
      </c>
      <c r="EM6" s="107" t="str">
        <f t="shared" ref="EM6:EM37" si="111">IF(AND($Q6="E",$M6=200,$O6="PVC")=TRUE,$I6,"-")</f>
        <v>-</v>
      </c>
      <c r="EN6" s="107" t="str">
        <f t="shared" ref="EN6:EN37" si="112">IF(AND($Q6="E",$M6=250,$O6="PVC")=TRUE,$I6,"-")</f>
        <v>-</v>
      </c>
      <c r="EO6" s="108" t="str">
        <f t="shared" ref="EO6:EO37" si="113">IF(AND($Q6="E",$M6=315,$O6="PVC")=TRUE,$I6,"-")</f>
        <v>-</v>
      </c>
      <c r="EQ6" s="115">
        <f t="shared" ref="EQ6:EQ37" si="114">IF($Q6="E","-",IF($M6=200,$L6,"-"))</f>
        <v>37.44</v>
      </c>
      <c r="ER6" s="116" t="str">
        <f t="shared" ref="ER6:ER37" si="115">IF($Q6="E","-",IF($M6=250,$L6,"-"))</f>
        <v>-</v>
      </c>
      <c r="ES6" s="117" t="str">
        <f t="shared" ref="ES6:ES37" si="116">IF($Q6="E","-",IF($M6=315,$L6,"-"))</f>
        <v>-</v>
      </c>
      <c r="ET6" s="90">
        <v>2</v>
      </c>
      <c r="EU6" s="115">
        <f t="shared" ref="EU6:EU37" si="117">IF($Q6="E","-",IF($M6=200,$ET6,"-"))</f>
        <v>2</v>
      </c>
      <c r="EV6" s="116" t="str">
        <f t="shared" ref="EV6:EV37" si="118">IF($Q6="E","-",IF($M6=250,$ET6,"-"))</f>
        <v>-</v>
      </c>
      <c r="EW6" s="117" t="str">
        <f t="shared" ref="EW6:EW37" si="119">IF($Q6="E","-",IF($M6=315,$ET6,"-"))</f>
        <v>-</v>
      </c>
    </row>
    <row r="7" spans="1:153" ht="15.75" thickBot="1" x14ac:dyDescent="0.3">
      <c r="A7" s="41"/>
      <c r="B7" s="201" t="s">
        <v>441</v>
      </c>
      <c r="C7" s="201" t="s">
        <v>442</v>
      </c>
      <c r="D7" s="42">
        <f>VLOOKUP(B7,'BASE DE DATOS'!$B$3:$E$106,2,FALSE)</f>
        <v>38.909999999999997</v>
      </c>
      <c r="E7" s="42">
        <f>VLOOKUP(B7,'BASE DE DATOS'!$B$3:$E$106,4,FALSE)</f>
        <v>1.1999999999999957</v>
      </c>
      <c r="F7" s="42">
        <f>VLOOKUP(C7,'BASE DE DATOS'!$B$3:$E$106,2,FALSE)</f>
        <v>38.659999999999997</v>
      </c>
      <c r="G7" s="42">
        <f>VLOOKUP(C7,'BASE DE DATOS'!$B$3:$E$106,4,FALSE)</f>
        <v>1.3199999999999932</v>
      </c>
      <c r="H7" s="43">
        <f t="shared" ref="H7:H17" si="120">(E7+G7)/2</f>
        <v>1.2599999999999945</v>
      </c>
      <c r="I7" s="201">
        <v>36.11</v>
      </c>
      <c r="J7" s="44">
        <f t="shared" ref="J7:J16" si="121">ROUND((I7^2+(E7-G7)^2)^0.5,2)</f>
        <v>36.11</v>
      </c>
      <c r="K7" s="40">
        <f t="shared" ref="K7:K16" si="122">ROUND(((I7-1.6)^2+(D7-E7-F7+G7)^2)^0.5,2)</f>
        <v>34.51</v>
      </c>
      <c r="L7" s="40">
        <f t="shared" ref="L7:L16" si="123">ROUND(((I7-1.2)^2+(D7-E7-F7+G7)^2)^0.5,2)</f>
        <v>34.909999999999997</v>
      </c>
      <c r="M7" s="44">
        <f t="shared" ref="M7:M70" si="124">IF(OR(P7=192.2,P7=187.6,P7=203.2)=TRUE,200,IF(P7=234.6,250,IF(P7=295.6,315,"-")))</f>
        <v>200</v>
      </c>
      <c r="N7" s="40">
        <f t="shared" ref="N7:N70" si="125">ROUND((I7^2+(D7-F7)^2)^0.5,2)</f>
        <v>36.11</v>
      </c>
      <c r="O7" s="201" t="s">
        <v>120</v>
      </c>
      <c r="P7" s="19">
        <v>187.6</v>
      </c>
      <c r="Q7" s="201" t="s">
        <v>122</v>
      </c>
      <c r="R7" s="202" t="s">
        <v>133</v>
      </c>
      <c r="S7" s="201" t="s">
        <v>148</v>
      </c>
      <c r="T7" s="201" t="s">
        <v>149</v>
      </c>
      <c r="V7" s="51" t="str">
        <f t="shared" si="0"/>
        <v>-</v>
      </c>
      <c r="W7" s="52" t="str">
        <f t="shared" si="1"/>
        <v>-</v>
      </c>
      <c r="X7" s="52" t="str">
        <f t="shared" si="2"/>
        <v>-</v>
      </c>
      <c r="Y7" s="52" t="str">
        <f t="shared" si="3"/>
        <v>-</v>
      </c>
      <c r="Z7" s="52" t="str">
        <f t="shared" si="4"/>
        <v>-</v>
      </c>
      <c r="AA7" s="52" t="str">
        <f t="shared" si="5"/>
        <v>-</v>
      </c>
      <c r="AB7" s="52" t="str">
        <f t="shared" si="6"/>
        <v>-</v>
      </c>
      <c r="AC7" s="52" t="str">
        <f t="shared" si="7"/>
        <v>-</v>
      </c>
      <c r="AD7" s="52" t="str">
        <f t="shared" si="8"/>
        <v>-</v>
      </c>
      <c r="AE7" s="52" t="str">
        <f t="shared" si="9"/>
        <v>-</v>
      </c>
      <c r="AF7" s="52" t="str">
        <f t="shared" si="10"/>
        <v>-</v>
      </c>
      <c r="AG7" s="52" t="str">
        <f t="shared" si="11"/>
        <v>-</v>
      </c>
      <c r="AH7" s="52" t="str">
        <f t="shared" si="12"/>
        <v>-</v>
      </c>
      <c r="AI7" s="52" t="str">
        <f t="shared" si="13"/>
        <v>-</v>
      </c>
      <c r="AJ7" s="52" t="str">
        <f t="shared" si="14"/>
        <v>-</v>
      </c>
      <c r="AK7" s="52" t="str">
        <f t="shared" si="15"/>
        <v>-</v>
      </c>
      <c r="AL7" s="52" t="str">
        <f t="shared" si="16"/>
        <v>-</v>
      </c>
      <c r="AM7" s="53" t="str">
        <f t="shared" si="17"/>
        <v>-</v>
      </c>
      <c r="AN7" s="51" t="str">
        <f t="shared" si="18"/>
        <v>-</v>
      </c>
      <c r="AO7" s="52" t="str">
        <f t="shared" si="19"/>
        <v>-</v>
      </c>
      <c r="AP7" s="52" t="str">
        <f t="shared" si="20"/>
        <v>-</v>
      </c>
      <c r="AQ7" s="52" t="str">
        <f t="shared" si="21"/>
        <v>-</v>
      </c>
      <c r="AR7" s="52" t="str">
        <f t="shared" si="22"/>
        <v>-</v>
      </c>
      <c r="AS7" s="52" t="str">
        <f t="shared" si="23"/>
        <v>-</v>
      </c>
      <c r="AT7" s="52" t="str">
        <f t="shared" si="24"/>
        <v>-</v>
      </c>
      <c r="AU7" s="52" t="str">
        <f t="shared" si="25"/>
        <v>-</v>
      </c>
      <c r="AV7" s="52" t="str">
        <f t="shared" si="26"/>
        <v>-</v>
      </c>
      <c r="AW7" s="52" t="str">
        <f t="shared" si="27"/>
        <v>-</v>
      </c>
      <c r="AX7" s="52" t="str">
        <f t="shared" si="28"/>
        <v>-</v>
      </c>
      <c r="AY7" s="52" t="str">
        <f t="shared" si="29"/>
        <v>-</v>
      </c>
      <c r="AZ7" s="52" t="str">
        <f t="shared" si="30"/>
        <v>-</v>
      </c>
      <c r="BA7" s="52" t="str">
        <f t="shared" si="31"/>
        <v>-</v>
      </c>
      <c r="BB7" s="52" t="str">
        <f t="shared" si="32"/>
        <v>-</v>
      </c>
      <c r="BC7" s="52" t="str">
        <f t="shared" si="33"/>
        <v>-</v>
      </c>
      <c r="BD7" s="52" t="str">
        <f t="shared" si="34"/>
        <v>-</v>
      </c>
      <c r="BE7" s="53" t="str">
        <f t="shared" si="35"/>
        <v>-</v>
      </c>
      <c r="BF7" s="51" t="str">
        <f t="shared" si="36"/>
        <v>-</v>
      </c>
      <c r="BG7" s="52" t="str">
        <f t="shared" si="37"/>
        <v>-</v>
      </c>
      <c r="BH7" s="52">
        <f t="shared" si="38"/>
        <v>34.51</v>
      </c>
      <c r="BI7" s="52" t="str">
        <f t="shared" si="39"/>
        <v>-</v>
      </c>
      <c r="BJ7" s="52" t="str">
        <f t="shared" si="40"/>
        <v>-</v>
      </c>
      <c r="BK7" s="52" t="str">
        <f t="shared" si="41"/>
        <v>-</v>
      </c>
      <c r="BL7" s="52" t="str">
        <f t="shared" si="42"/>
        <v>-</v>
      </c>
      <c r="BM7" s="52" t="str">
        <f t="shared" si="43"/>
        <v>-</v>
      </c>
      <c r="BN7" s="52" t="str">
        <f t="shared" si="44"/>
        <v>-</v>
      </c>
      <c r="BO7" s="52" t="str">
        <f t="shared" si="45"/>
        <v>-</v>
      </c>
      <c r="BP7" s="52" t="str">
        <f t="shared" si="46"/>
        <v>-</v>
      </c>
      <c r="BQ7" s="52" t="str">
        <f t="shared" si="47"/>
        <v>-</v>
      </c>
      <c r="BR7" s="52" t="str">
        <f t="shared" si="48"/>
        <v>-</v>
      </c>
      <c r="BS7" s="52" t="str">
        <f t="shared" si="49"/>
        <v>-</v>
      </c>
      <c r="BT7" s="52" t="str">
        <f t="shared" si="50"/>
        <v>-</v>
      </c>
      <c r="BU7" s="52" t="str">
        <f t="shared" si="51"/>
        <v>-</v>
      </c>
      <c r="BV7" s="52" t="str">
        <f t="shared" si="52"/>
        <v>-</v>
      </c>
      <c r="BW7" s="53" t="str">
        <f t="shared" si="53"/>
        <v>-</v>
      </c>
      <c r="BX7" s="51" t="str">
        <f t="shared" si="54"/>
        <v>-</v>
      </c>
      <c r="BY7" s="52" t="str">
        <f t="shared" si="55"/>
        <v>-</v>
      </c>
      <c r="BZ7" s="52" t="str">
        <f t="shared" si="56"/>
        <v>-</v>
      </c>
      <c r="CA7" s="52" t="str">
        <f t="shared" si="57"/>
        <v>-</v>
      </c>
      <c r="CB7" s="52" t="str">
        <f t="shared" si="58"/>
        <v>-</v>
      </c>
      <c r="CC7" s="52" t="str">
        <f t="shared" si="59"/>
        <v>-</v>
      </c>
      <c r="CD7" s="52" t="str">
        <f t="shared" si="60"/>
        <v>-</v>
      </c>
      <c r="CE7" s="52" t="str">
        <f t="shared" si="61"/>
        <v>-</v>
      </c>
      <c r="CF7" s="52" t="str">
        <f t="shared" si="62"/>
        <v>-</v>
      </c>
      <c r="CG7" s="52" t="str">
        <f t="shared" si="63"/>
        <v>-</v>
      </c>
      <c r="CH7" s="52" t="str">
        <f t="shared" si="64"/>
        <v>-</v>
      </c>
      <c r="CI7" s="52" t="str">
        <f t="shared" si="65"/>
        <v>-</v>
      </c>
      <c r="CJ7" s="52" t="str">
        <f t="shared" si="66"/>
        <v>-</v>
      </c>
      <c r="CK7" s="52" t="str">
        <f t="shared" si="67"/>
        <v>-</v>
      </c>
      <c r="CL7" s="52" t="str">
        <f t="shared" si="68"/>
        <v>-</v>
      </c>
      <c r="CM7" s="52" t="str">
        <f t="shared" si="69"/>
        <v>-</v>
      </c>
      <c r="CN7" s="52" t="str">
        <f t="shared" si="70"/>
        <v>-</v>
      </c>
      <c r="CO7" s="53" t="str">
        <f t="shared" si="71"/>
        <v>-</v>
      </c>
      <c r="CQ7" s="305" t="str">
        <f t="shared" ref="CQ7:CQ70" si="126">IF($S7="R",$N7,"-")</f>
        <v>-</v>
      </c>
      <c r="CR7" s="305" t="str">
        <f t="shared" ref="CR7:CR70" si="127">IF($S7="F",$N7,"-")</f>
        <v>-</v>
      </c>
      <c r="CS7" s="305" t="str">
        <f t="shared" ref="CS7:CS70" si="128">IF($S7="M",$N7,"-")</f>
        <v>-</v>
      </c>
      <c r="CT7" s="305">
        <f t="shared" ref="CT7:CT70" si="129">IF($S7="V",$N7,"-")</f>
        <v>36.11</v>
      </c>
      <c r="CU7" s="305" t="str">
        <f t="shared" ref="CU7:CU70" si="130">IF($S7="G",$N7,"-")</f>
        <v>-</v>
      </c>
      <c r="CV7" s="305" t="str">
        <f t="shared" ref="CV7:CV70" si="131">IF($S7="A",$N7,"-")</f>
        <v>-</v>
      </c>
      <c r="CX7" s="51">
        <f t="shared" si="72"/>
        <v>34.909999999999997</v>
      </c>
      <c r="CY7" s="52" t="str">
        <f t="shared" si="73"/>
        <v>-</v>
      </c>
      <c r="CZ7" s="53" t="str">
        <f t="shared" si="74"/>
        <v>-</v>
      </c>
      <c r="DA7" s="51" t="str">
        <f t="shared" si="75"/>
        <v>-</v>
      </c>
      <c r="DB7" s="52" t="str">
        <f t="shared" si="76"/>
        <v>-</v>
      </c>
      <c r="DC7" s="53" t="str">
        <f t="shared" si="77"/>
        <v>-</v>
      </c>
      <c r="DD7" s="57"/>
      <c r="DE7" s="106" t="str">
        <f t="shared" si="78"/>
        <v>-</v>
      </c>
      <c r="DF7" s="107" t="str">
        <f t="shared" si="79"/>
        <v>-</v>
      </c>
      <c r="DG7" s="107" t="str">
        <f t="shared" si="80"/>
        <v>-</v>
      </c>
      <c r="DH7" s="107">
        <f t="shared" si="81"/>
        <v>34.909999999999997</v>
      </c>
      <c r="DI7" s="107" t="str">
        <f t="shared" si="82"/>
        <v>-</v>
      </c>
      <c r="DJ7" s="107" t="str">
        <f t="shared" si="83"/>
        <v>-</v>
      </c>
      <c r="DK7" s="107" t="str">
        <f t="shared" si="84"/>
        <v>-</v>
      </c>
      <c r="DL7" s="107" t="str">
        <f t="shared" si="85"/>
        <v>-</v>
      </c>
      <c r="DM7" s="108" t="str">
        <f t="shared" si="86"/>
        <v>-</v>
      </c>
      <c r="DN7" s="100"/>
      <c r="DO7" s="106" t="str">
        <f t="shared" si="87"/>
        <v>-</v>
      </c>
      <c r="DP7" s="107" t="str">
        <f t="shared" si="88"/>
        <v>-</v>
      </c>
      <c r="DQ7" s="107" t="str">
        <f t="shared" si="89"/>
        <v>-</v>
      </c>
      <c r="DR7" s="107">
        <f t="shared" si="90"/>
        <v>34.909999999999997</v>
      </c>
      <c r="DS7" s="107" t="str">
        <f t="shared" si="91"/>
        <v>-</v>
      </c>
      <c r="DT7" s="107" t="str">
        <f t="shared" si="92"/>
        <v>-</v>
      </c>
      <c r="DU7" s="107" t="str">
        <f t="shared" si="93"/>
        <v>-</v>
      </c>
      <c r="DV7" s="107" t="str">
        <f t="shared" si="94"/>
        <v>-</v>
      </c>
      <c r="DW7" s="108" t="str">
        <f t="shared" si="95"/>
        <v>-</v>
      </c>
      <c r="DX7" s="109" t="str">
        <f t="shared" si="96"/>
        <v>-</v>
      </c>
      <c r="DY7" s="110" t="str">
        <f t="shared" si="97"/>
        <v>-</v>
      </c>
      <c r="DZ7" s="110" t="str">
        <f t="shared" si="98"/>
        <v>-</v>
      </c>
      <c r="EA7" s="110" t="str">
        <f t="shared" si="99"/>
        <v>-</v>
      </c>
      <c r="EB7" s="110" t="str">
        <f t="shared" si="100"/>
        <v>-</v>
      </c>
      <c r="EC7" s="110" t="str">
        <f t="shared" si="101"/>
        <v>-</v>
      </c>
      <c r="ED7" s="110" t="str">
        <f t="shared" si="102"/>
        <v>-</v>
      </c>
      <c r="EE7" s="110" t="str">
        <f t="shared" si="103"/>
        <v>-</v>
      </c>
      <c r="EF7" s="111" t="str">
        <f t="shared" si="104"/>
        <v>-</v>
      </c>
      <c r="EG7" s="109" t="str">
        <f t="shared" si="105"/>
        <v>-</v>
      </c>
      <c r="EH7" s="110" t="str">
        <f t="shared" si="106"/>
        <v>-</v>
      </c>
      <c r="EI7" s="110" t="str">
        <f t="shared" si="107"/>
        <v>-</v>
      </c>
      <c r="EJ7" s="110" t="str">
        <f t="shared" si="108"/>
        <v>-</v>
      </c>
      <c r="EK7" s="110" t="str">
        <f t="shared" si="109"/>
        <v>-</v>
      </c>
      <c r="EL7" s="110" t="str">
        <f t="shared" si="110"/>
        <v>-</v>
      </c>
      <c r="EM7" s="110" t="str">
        <f t="shared" si="111"/>
        <v>-</v>
      </c>
      <c r="EN7" s="110" t="str">
        <f t="shared" si="112"/>
        <v>-</v>
      </c>
      <c r="EO7" s="111" t="str">
        <f t="shared" si="113"/>
        <v>-</v>
      </c>
      <c r="EQ7" s="118">
        <f t="shared" si="114"/>
        <v>34.909999999999997</v>
      </c>
      <c r="ER7" s="119" t="str">
        <f t="shared" si="115"/>
        <v>-</v>
      </c>
      <c r="ES7" s="120" t="str">
        <f t="shared" si="116"/>
        <v>-</v>
      </c>
      <c r="ET7" s="90">
        <v>2</v>
      </c>
      <c r="EU7" s="118">
        <f t="shared" si="117"/>
        <v>2</v>
      </c>
      <c r="EV7" s="119" t="str">
        <f t="shared" si="118"/>
        <v>-</v>
      </c>
      <c r="EW7" s="120" t="str">
        <f t="shared" si="119"/>
        <v>-</v>
      </c>
    </row>
    <row r="8" spans="1:153" ht="15.75" thickBot="1" x14ac:dyDescent="0.3">
      <c r="A8" s="41"/>
      <c r="B8" s="171" t="s">
        <v>442</v>
      </c>
      <c r="C8" s="171" t="s">
        <v>445</v>
      </c>
      <c r="D8" s="42">
        <f>VLOOKUP(B8,'BASE DE DATOS'!$B$3:$E$106,2,FALSE)</f>
        <v>38.659999999999997</v>
      </c>
      <c r="E8" s="42">
        <f>VLOOKUP(B8,'BASE DE DATOS'!$B$3:$E$106,4,FALSE)</f>
        <v>1.3199999999999932</v>
      </c>
      <c r="F8" s="42">
        <f>VLOOKUP(C8,'BASE DE DATOS'!$B$3:$E$106,2,FALSE)</f>
        <v>38.39</v>
      </c>
      <c r="G8" s="42">
        <f>VLOOKUP(C8,'BASE DE DATOS'!$B$3:$E$106,4,FALSE)</f>
        <v>1.3900000000000006</v>
      </c>
      <c r="H8" s="43">
        <f t="shared" si="120"/>
        <v>1.3549999999999969</v>
      </c>
      <c r="I8" s="171">
        <v>46.24</v>
      </c>
      <c r="J8" s="44">
        <f t="shared" si="121"/>
        <v>46.24</v>
      </c>
      <c r="K8" s="40">
        <f t="shared" si="122"/>
        <v>44.64</v>
      </c>
      <c r="L8" s="40">
        <f t="shared" si="123"/>
        <v>45.04</v>
      </c>
      <c r="M8" s="44">
        <f t="shared" si="124"/>
        <v>200</v>
      </c>
      <c r="N8" s="40">
        <f t="shared" si="125"/>
        <v>46.24</v>
      </c>
      <c r="O8" s="171" t="s">
        <v>120</v>
      </c>
      <c r="P8" s="19">
        <v>187.6</v>
      </c>
      <c r="Q8" s="171" t="s">
        <v>123</v>
      </c>
      <c r="R8" s="202" t="s">
        <v>133</v>
      </c>
      <c r="S8" s="171" t="s">
        <v>147</v>
      </c>
      <c r="T8" s="171" t="s">
        <v>146</v>
      </c>
      <c r="V8" s="51" t="str">
        <f t="shared" si="0"/>
        <v>-</v>
      </c>
      <c r="W8" s="52" t="str">
        <f t="shared" si="1"/>
        <v>-</v>
      </c>
      <c r="X8" s="52" t="str">
        <f t="shared" si="2"/>
        <v>-</v>
      </c>
      <c r="Y8" s="52">
        <f t="shared" si="3"/>
        <v>44.64</v>
      </c>
      <c r="Z8" s="52" t="str">
        <f t="shared" si="4"/>
        <v>-</v>
      </c>
      <c r="AA8" s="52" t="str">
        <f t="shared" si="5"/>
        <v>-</v>
      </c>
      <c r="AB8" s="52" t="str">
        <f t="shared" si="6"/>
        <v>-</v>
      </c>
      <c r="AC8" s="52" t="str">
        <f t="shared" si="7"/>
        <v>-</v>
      </c>
      <c r="AD8" s="52" t="str">
        <f t="shared" si="8"/>
        <v>-</v>
      </c>
      <c r="AE8" s="52" t="str">
        <f t="shared" si="9"/>
        <v>-</v>
      </c>
      <c r="AF8" s="52" t="str">
        <f t="shared" si="10"/>
        <v>-</v>
      </c>
      <c r="AG8" s="52" t="str">
        <f t="shared" si="11"/>
        <v>-</v>
      </c>
      <c r="AH8" s="52" t="str">
        <f t="shared" si="12"/>
        <v>-</v>
      </c>
      <c r="AI8" s="52" t="str">
        <f t="shared" si="13"/>
        <v>-</v>
      </c>
      <c r="AJ8" s="52" t="str">
        <f t="shared" si="14"/>
        <v>-</v>
      </c>
      <c r="AK8" s="52" t="str">
        <f t="shared" si="15"/>
        <v>-</v>
      </c>
      <c r="AL8" s="52" t="str">
        <f t="shared" si="16"/>
        <v>-</v>
      </c>
      <c r="AM8" s="53" t="str">
        <f t="shared" si="17"/>
        <v>-</v>
      </c>
      <c r="AN8" s="51" t="str">
        <f t="shared" si="18"/>
        <v>-</v>
      </c>
      <c r="AO8" s="52" t="str">
        <f t="shared" si="19"/>
        <v>-</v>
      </c>
      <c r="AP8" s="52" t="str">
        <f t="shared" si="20"/>
        <v>-</v>
      </c>
      <c r="AQ8" s="52" t="str">
        <f t="shared" si="21"/>
        <v>-</v>
      </c>
      <c r="AR8" s="52" t="str">
        <f t="shared" si="22"/>
        <v>-</v>
      </c>
      <c r="AS8" s="52" t="str">
        <f t="shared" si="23"/>
        <v>-</v>
      </c>
      <c r="AT8" s="52" t="str">
        <f t="shared" si="24"/>
        <v>-</v>
      </c>
      <c r="AU8" s="52" t="str">
        <f t="shared" si="25"/>
        <v>-</v>
      </c>
      <c r="AV8" s="52" t="str">
        <f t="shared" si="26"/>
        <v>-</v>
      </c>
      <c r="AW8" s="52" t="str">
        <f t="shared" si="27"/>
        <v>-</v>
      </c>
      <c r="AX8" s="52" t="str">
        <f t="shared" si="28"/>
        <v>-</v>
      </c>
      <c r="AY8" s="52" t="str">
        <f t="shared" si="29"/>
        <v>-</v>
      </c>
      <c r="AZ8" s="52" t="str">
        <f t="shared" si="30"/>
        <v>-</v>
      </c>
      <c r="BA8" s="52" t="str">
        <f t="shared" si="31"/>
        <v>-</v>
      </c>
      <c r="BB8" s="52" t="str">
        <f t="shared" si="32"/>
        <v>-</v>
      </c>
      <c r="BC8" s="52" t="str">
        <f t="shared" si="33"/>
        <v>-</v>
      </c>
      <c r="BD8" s="52" t="str">
        <f t="shared" si="34"/>
        <v>-</v>
      </c>
      <c r="BE8" s="53" t="str">
        <f t="shared" si="35"/>
        <v>-</v>
      </c>
      <c r="BF8" s="51" t="str">
        <f t="shared" si="36"/>
        <v>-</v>
      </c>
      <c r="BG8" s="52" t="str">
        <f t="shared" si="37"/>
        <v>-</v>
      </c>
      <c r="BH8" s="52" t="str">
        <f t="shared" si="38"/>
        <v>-</v>
      </c>
      <c r="BI8" s="52" t="str">
        <f t="shared" si="39"/>
        <v>-</v>
      </c>
      <c r="BJ8" s="52" t="str">
        <f t="shared" si="40"/>
        <v>-</v>
      </c>
      <c r="BK8" s="52" t="str">
        <f t="shared" si="41"/>
        <v>-</v>
      </c>
      <c r="BL8" s="52" t="str">
        <f t="shared" si="42"/>
        <v>-</v>
      </c>
      <c r="BM8" s="52" t="str">
        <f t="shared" si="43"/>
        <v>-</v>
      </c>
      <c r="BN8" s="52" t="str">
        <f t="shared" si="44"/>
        <v>-</v>
      </c>
      <c r="BO8" s="52" t="str">
        <f t="shared" si="45"/>
        <v>-</v>
      </c>
      <c r="BP8" s="52" t="str">
        <f t="shared" si="46"/>
        <v>-</v>
      </c>
      <c r="BQ8" s="52" t="str">
        <f t="shared" si="47"/>
        <v>-</v>
      </c>
      <c r="BR8" s="52" t="str">
        <f t="shared" si="48"/>
        <v>-</v>
      </c>
      <c r="BS8" s="52" t="str">
        <f t="shared" si="49"/>
        <v>-</v>
      </c>
      <c r="BT8" s="52" t="str">
        <f t="shared" si="50"/>
        <v>-</v>
      </c>
      <c r="BU8" s="52" t="str">
        <f t="shared" si="51"/>
        <v>-</v>
      </c>
      <c r="BV8" s="52" t="str">
        <f t="shared" si="52"/>
        <v>-</v>
      </c>
      <c r="BW8" s="53" t="str">
        <f t="shared" si="53"/>
        <v>-</v>
      </c>
      <c r="BX8" s="51" t="str">
        <f t="shared" si="54"/>
        <v>-</v>
      </c>
      <c r="BY8" s="52" t="str">
        <f t="shared" si="55"/>
        <v>-</v>
      </c>
      <c r="BZ8" s="52" t="str">
        <f t="shared" si="56"/>
        <v>-</v>
      </c>
      <c r="CA8" s="52" t="str">
        <f t="shared" si="57"/>
        <v>-</v>
      </c>
      <c r="CB8" s="52" t="str">
        <f t="shared" si="58"/>
        <v>-</v>
      </c>
      <c r="CC8" s="52" t="str">
        <f t="shared" si="59"/>
        <v>-</v>
      </c>
      <c r="CD8" s="52" t="str">
        <f t="shared" si="60"/>
        <v>-</v>
      </c>
      <c r="CE8" s="52" t="str">
        <f t="shared" si="61"/>
        <v>-</v>
      </c>
      <c r="CF8" s="52" t="str">
        <f t="shared" si="62"/>
        <v>-</v>
      </c>
      <c r="CG8" s="52" t="str">
        <f t="shared" si="63"/>
        <v>-</v>
      </c>
      <c r="CH8" s="52" t="str">
        <f t="shared" si="64"/>
        <v>-</v>
      </c>
      <c r="CI8" s="52" t="str">
        <f t="shared" si="65"/>
        <v>-</v>
      </c>
      <c r="CJ8" s="52" t="str">
        <f t="shared" si="66"/>
        <v>-</v>
      </c>
      <c r="CK8" s="52" t="str">
        <f t="shared" si="67"/>
        <v>-</v>
      </c>
      <c r="CL8" s="52" t="str">
        <f t="shared" si="68"/>
        <v>-</v>
      </c>
      <c r="CM8" s="52" t="str">
        <f t="shared" si="69"/>
        <v>-</v>
      </c>
      <c r="CN8" s="52" t="str">
        <f t="shared" si="70"/>
        <v>-</v>
      </c>
      <c r="CO8" s="53" t="str">
        <f t="shared" si="71"/>
        <v>-</v>
      </c>
      <c r="CQ8" s="305" t="str">
        <f t="shared" si="126"/>
        <v>-</v>
      </c>
      <c r="CR8" s="305">
        <f t="shared" si="127"/>
        <v>46.24</v>
      </c>
      <c r="CS8" s="305" t="str">
        <f t="shared" si="128"/>
        <v>-</v>
      </c>
      <c r="CT8" s="305" t="str">
        <f t="shared" si="129"/>
        <v>-</v>
      </c>
      <c r="CU8" s="305" t="str">
        <f t="shared" si="130"/>
        <v>-</v>
      </c>
      <c r="CV8" s="305" t="str">
        <f t="shared" si="131"/>
        <v>-</v>
      </c>
      <c r="CX8" s="51" t="str">
        <f t="shared" si="72"/>
        <v>-</v>
      </c>
      <c r="CY8" s="52">
        <f t="shared" si="73"/>
        <v>45.04</v>
      </c>
      <c r="CZ8" s="53" t="str">
        <f t="shared" si="74"/>
        <v>-</v>
      </c>
      <c r="DA8" s="51" t="str">
        <f t="shared" si="75"/>
        <v>-</v>
      </c>
      <c r="DB8" s="52" t="str">
        <f t="shared" si="76"/>
        <v>-</v>
      </c>
      <c r="DC8" s="53" t="str">
        <f t="shared" si="77"/>
        <v>-</v>
      </c>
      <c r="DD8" s="57"/>
      <c r="DE8" s="106" t="str">
        <f t="shared" si="78"/>
        <v>-</v>
      </c>
      <c r="DF8" s="107" t="str">
        <f t="shared" si="79"/>
        <v>-</v>
      </c>
      <c r="DG8" s="107" t="str">
        <f t="shared" si="80"/>
        <v>-</v>
      </c>
      <c r="DH8" s="107" t="str">
        <f t="shared" si="81"/>
        <v>-</v>
      </c>
      <c r="DI8" s="107" t="str">
        <f t="shared" si="82"/>
        <v>-</v>
      </c>
      <c r="DJ8" s="107" t="str">
        <f t="shared" si="83"/>
        <v>-</v>
      </c>
      <c r="DK8" s="107" t="str">
        <f t="shared" si="84"/>
        <v>-</v>
      </c>
      <c r="DL8" s="107" t="str">
        <f t="shared" si="85"/>
        <v>-</v>
      </c>
      <c r="DM8" s="108" t="str">
        <f t="shared" si="86"/>
        <v>-</v>
      </c>
      <c r="DN8" s="100"/>
      <c r="DO8" s="106" t="str">
        <f t="shared" si="87"/>
        <v>-</v>
      </c>
      <c r="DP8" s="107" t="str">
        <f t="shared" si="88"/>
        <v>-</v>
      </c>
      <c r="DQ8" s="107" t="str">
        <f t="shared" si="89"/>
        <v>-</v>
      </c>
      <c r="DR8" s="107" t="str">
        <f t="shared" si="90"/>
        <v>-</v>
      </c>
      <c r="DS8" s="107" t="str">
        <f t="shared" si="91"/>
        <v>-</v>
      </c>
      <c r="DT8" s="107" t="str">
        <f t="shared" si="92"/>
        <v>-</v>
      </c>
      <c r="DU8" s="107" t="str">
        <f t="shared" si="93"/>
        <v>-</v>
      </c>
      <c r="DV8" s="107" t="str">
        <f t="shared" si="94"/>
        <v>-</v>
      </c>
      <c r="DW8" s="108" t="str">
        <f t="shared" si="95"/>
        <v>-</v>
      </c>
      <c r="DX8" s="109" t="str">
        <f t="shared" si="96"/>
        <v>-</v>
      </c>
      <c r="DY8" s="110" t="str">
        <f t="shared" si="97"/>
        <v>-</v>
      </c>
      <c r="DZ8" s="110" t="str">
        <f t="shared" si="98"/>
        <v>-</v>
      </c>
      <c r="EA8" s="110">
        <f t="shared" si="99"/>
        <v>46.24</v>
      </c>
      <c r="EB8" s="110" t="str">
        <f t="shared" si="100"/>
        <v>-</v>
      </c>
      <c r="EC8" s="110" t="str">
        <f t="shared" si="101"/>
        <v>-</v>
      </c>
      <c r="ED8" s="110" t="str">
        <f t="shared" si="102"/>
        <v>-</v>
      </c>
      <c r="EE8" s="110" t="str">
        <f t="shared" si="103"/>
        <v>-</v>
      </c>
      <c r="EF8" s="111" t="str">
        <f t="shared" si="104"/>
        <v>-</v>
      </c>
      <c r="EG8" s="109" t="str">
        <f t="shared" si="105"/>
        <v>-</v>
      </c>
      <c r="EH8" s="110" t="str">
        <f t="shared" si="106"/>
        <v>-</v>
      </c>
      <c r="EI8" s="110" t="str">
        <f t="shared" si="107"/>
        <v>-</v>
      </c>
      <c r="EJ8" s="110" t="str">
        <f t="shared" si="108"/>
        <v>-</v>
      </c>
      <c r="EK8" s="110" t="str">
        <f t="shared" si="109"/>
        <v>-</v>
      </c>
      <c r="EL8" s="110" t="str">
        <f t="shared" si="110"/>
        <v>-</v>
      </c>
      <c r="EM8" s="110" t="str">
        <f t="shared" si="111"/>
        <v>-</v>
      </c>
      <c r="EN8" s="110" t="str">
        <f t="shared" si="112"/>
        <v>-</v>
      </c>
      <c r="EO8" s="111" t="str">
        <f t="shared" si="113"/>
        <v>-</v>
      </c>
      <c r="EQ8" s="118">
        <f t="shared" si="114"/>
        <v>45.04</v>
      </c>
      <c r="ER8" s="119" t="str">
        <f t="shared" si="115"/>
        <v>-</v>
      </c>
      <c r="ES8" s="120" t="str">
        <f t="shared" si="116"/>
        <v>-</v>
      </c>
      <c r="ET8" s="90">
        <v>2</v>
      </c>
      <c r="EU8" s="118">
        <f t="shared" si="117"/>
        <v>2</v>
      </c>
      <c r="EV8" s="119" t="str">
        <f t="shared" si="118"/>
        <v>-</v>
      </c>
      <c r="EW8" s="120" t="str">
        <f t="shared" si="119"/>
        <v>-</v>
      </c>
    </row>
    <row r="9" spans="1:153" ht="15.75" thickBot="1" x14ac:dyDescent="0.3">
      <c r="A9" s="41"/>
      <c r="B9" s="171" t="s">
        <v>443</v>
      </c>
      <c r="C9" s="171" t="s">
        <v>444</v>
      </c>
      <c r="D9" s="42">
        <f>VLOOKUP(B9,'BASE DE DATOS'!$B$3:$E$106,2,FALSE)</f>
        <v>38.83</v>
      </c>
      <c r="E9" s="42">
        <f>VLOOKUP(B9,'BASE DE DATOS'!$B$3:$E$106,4,FALSE)</f>
        <v>1.1599999999999966</v>
      </c>
      <c r="F9" s="42">
        <f>VLOOKUP(C9,'BASE DE DATOS'!$B$3:$E$106,2,FALSE)</f>
        <v>38.78</v>
      </c>
      <c r="G9" s="42">
        <f>VLOOKUP(C9,'BASE DE DATOS'!$B$3:$E$106,4,FALSE)</f>
        <v>1.259999999999998</v>
      </c>
      <c r="H9" s="43">
        <f t="shared" si="120"/>
        <v>1.2099999999999973</v>
      </c>
      <c r="I9" s="171">
        <v>32</v>
      </c>
      <c r="J9" s="44">
        <f t="shared" si="121"/>
        <v>32</v>
      </c>
      <c r="K9" s="40">
        <f t="shared" si="122"/>
        <v>30.4</v>
      </c>
      <c r="L9" s="40">
        <f t="shared" si="123"/>
        <v>30.8</v>
      </c>
      <c r="M9" s="44">
        <f t="shared" si="124"/>
        <v>200</v>
      </c>
      <c r="N9" s="40">
        <f t="shared" si="125"/>
        <v>32</v>
      </c>
      <c r="O9" s="171" t="s">
        <v>120</v>
      </c>
      <c r="P9" s="19">
        <v>187.6</v>
      </c>
      <c r="Q9" s="171" t="s">
        <v>123</v>
      </c>
      <c r="R9" s="202" t="s">
        <v>133</v>
      </c>
      <c r="S9" s="171" t="s">
        <v>148</v>
      </c>
      <c r="T9" s="171" t="s">
        <v>146</v>
      </c>
      <c r="V9" s="51" t="str">
        <f t="shared" si="0"/>
        <v>-</v>
      </c>
      <c r="W9" s="52">
        <f t="shared" si="1"/>
        <v>30.4</v>
      </c>
      <c r="X9" s="52" t="str">
        <f t="shared" si="2"/>
        <v>-</v>
      </c>
      <c r="Y9" s="52" t="str">
        <f t="shared" si="3"/>
        <v>-</v>
      </c>
      <c r="Z9" s="52" t="str">
        <f t="shared" si="4"/>
        <v>-</v>
      </c>
      <c r="AA9" s="52" t="str">
        <f t="shared" si="5"/>
        <v>-</v>
      </c>
      <c r="AB9" s="52" t="str">
        <f t="shared" si="6"/>
        <v>-</v>
      </c>
      <c r="AC9" s="52" t="str">
        <f t="shared" si="7"/>
        <v>-</v>
      </c>
      <c r="AD9" s="52" t="str">
        <f t="shared" si="8"/>
        <v>-</v>
      </c>
      <c r="AE9" s="52" t="str">
        <f t="shared" si="9"/>
        <v>-</v>
      </c>
      <c r="AF9" s="52" t="str">
        <f t="shared" si="10"/>
        <v>-</v>
      </c>
      <c r="AG9" s="52" t="str">
        <f t="shared" si="11"/>
        <v>-</v>
      </c>
      <c r="AH9" s="52" t="str">
        <f t="shared" si="12"/>
        <v>-</v>
      </c>
      <c r="AI9" s="52" t="str">
        <f t="shared" si="13"/>
        <v>-</v>
      </c>
      <c r="AJ9" s="52" t="str">
        <f t="shared" si="14"/>
        <v>-</v>
      </c>
      <c r="AK9" s="52" t="str">
        <f t="shared" si="15"/>
        <v>-</v>
      </c>
      <c r="AL9" s="52" t="str">
        <f t="shared" si="16"/>
        <v>-</v>
      </c>
      <c r="AM9" s="53" t="str">
        <f t="shared" si="17"/>
        <v>-</v>
      </c>
      <c r="AN9" s="51" t="str">
        <f t="shared" si="18"/>
        <v>-</v>
      </c>
      <c r="AO9" s="52" t="str">
        <f t="shared" si="19"/>
        <v>-</v>
      </c>
      <c r="AP9" s="52" t="str">
        <f t="shared" si="20"/>
        <v>-</v>
      </c>
      <c r="AQ9" s="52" t="str">
        <f t="shared" si="21"/>
        <v>-</v>
      </c>
      <c r="AR9" s="52" t="str">
        <f t="shared" si="22"/>
        <v>-</v>
      </c>
      <c r="AS9" s="52" t="str">
        <f t="shared" si="23"/>
        <v>-</v>
      </c>
      <c r="AT9" s="52" t="str">
        <f t="shared" si="24"/>
        <v>-</v>
      </c>
      <c r="AU9" s="52" t="str">
        <f t="shared" si="25"/>
        <v>-</v>
      </c>
      <c r="AV9" s="52" t="str">
        <f t="shared" si="26"/>
        <v>-</v>
      </c>
      <c r="AW9" s="52" t="str">
        <f t="shared" si="27"/>
        <v>-</v>
      </c>
      <c r="AX9" s="52" t="str">
        <f t="shared" si="28"/>
        <v>-</v>
      </c>
      <c r="AY9" s="52" t="str">
        <f t="shared" si="29"/>
        <v>-</v>
      </c>
      <c r="AZ9" s="52" t="str">
        <f t="shared" si="30"/>
        <v>-</v>
      </c>
      <c r="BA9" s="52" t="str">
        <f t="shared" si="31"/>
        <v>-</v>
      </c>
      <c r="BB9" s="52" t="str">
        <f t="shared" si="32"/>
        <v>-</v>
      </c>
      <c r="BC9" s="52" t="str">
        <f t="shared" si="33"/>
        <v>-</v>
      </c>
      <c r="BD9" s="52" t="str">
        <f t="shared" si="34"/>
        <v>-</v>
      </c>
      <c r="BE9" s="53" t="str">
        <f t="shared" si="35"/>
        <v>-</v>
      </c>
      <c r="BF9" s="51" t="str">
        <f t="shared" si="36"/>
        <v>-</v>
      </c>
      <c r="BG9" s="52" t="str">
        <f t="shared" si="37"/>
        <v>-</v>
      </c>
      <c r="BH9" s="52" t="str">
        <f t="shared" si="38"/>
        <v>-</v>
      </c>
      <c r="BI9" s="52" t="str">
        <f t="shared" si="39"/>
        <v>-</v>
      </c>
      <c r="BJ9" s="52" t="str">
        <f t="shared" si="40"/>
        <v>-</v>
      </c>
      <c r="BK9" s="52" t="str">
        <f t="shared" si="41"/>
        <v>-</v>
      </c>
      <c r="BL9" s="52" t="str">
        <f t="shared" si="42"/>
        <v>-</v>
      </c>
      <c r="BM9" s="52" t="str">
        <f t="shared" si="43"/>
        <v>-</v>
      </c>
      <c r="BN9" s="52" t="str">
        <f t="shared" si="44"/>
        <v>-</v>
      </c>
      <c r="BO9" s="52" t="str">
        <f t="shared" si="45"/>
        <v>-</v>
      </c>
      <c r="BP9" s="52" t="str">
        <f t="shared" si="46"/>
        <v>-</v>
      </c>
      <c r="BQ9" s="52" t="str">
        <f t="shared" si="47"/>
        <v>-</v>
      </c>
      <c r="BR9" s="52" t="str">
        <f t="shared" si="48"/>
        <v>-</v>
      </c>
      <c r="BS9" s="52" t="str">
        <f t="shared" si="49"/>
        <v>-</v>
      </c>
      <c r="BT9" s="52" t="str">
        <f t="shared" si="50"/>
        <v>-</v>
      </c>
      <c r="BU9" s="52" t="str">
        <f t="shared" si="51"/>
        <v>-</v>
      </c>
      <c r="BV9" s="52" t="str">
        <f t="shared" si="52"/>
        <v>-</v>
      </c>
      <c r="BW9" s="53" t="str">
        <f t="shared" si="53"/>
        <v>-</v>
      </c>
      <c r="BX9" s="51" t="str">
        <f t="shared" si="54"/>
        <v>-</v>
      </c>
      <c r="BY9" s="52" t="str">
        <f t="shared" si="55"/>
        <v>-</v>
      </c>
      <c r="BZ9" s="52" t="str">
        <f t="shared" si="56"/>
        <v>-</v>
      </c>
      <c r="CA9" s="52" t="str">
        <f t="shared" si="57"/>
        <v>-</v>
      </c>
      <c r="CB9" s="52" t="str">
        <f t="shared" si="58"/>
        <v>-</v>
      </c>
      <c r="CC9" s="52" t="str">
        <f t="shared" si="59"/>
        <v>-</v>
      </c>
      <c r="CD9" s="52" t="str">
        <f t="shared" si="60"/>
        <v>-</v>
      </c>
      <c r="CE9" s="52" t="str">
        <f t="shared" si="61"/>
        <v>-</v>
      </c>
      <c r="CF9" s="52" t="str">
        <f t="shared" si="62"/>
        <v>-</v>
      </c>
      <c r="CG9" s="52" t="str">
        <f t="shared" si="63"/>
        <v>-</v>
      </c>
      <c r="CH9" s="52" t="str">
        <f t="shared" si="64"/>
        <v>-</v>
      </c>
      <c r="CI9" s="52" t="str">
        <f t="shared" si="65"/>
        <v>-</v>
      </c>
      <c r="CJ9" s="52" t="str">
        <f t="shared" si="66"/>
        <v>-</v>
      </c>
      <c r="CK9" s="52" t="str">
        <f t="shared" si="67"/>
        <v>-</v>
      </c>
      <c r="CL9" s="52" t="str">
        <f t="shared" si="68"/>
        <v>-</v>
      </c>
      <c r="CM9" s="52" t="str">
        <f t="shared" si="69"/>
        <v>-</v>
      </c>
      <c r="CN9" s="52" t="str">
        <f t="shared" si="70"/>
        <v>-</v>
      </c>
      <c r="CO9" s="53" t="str">
        <f t="shared" si="71"/>
        <v>-</v>
      </c>
      <c r="CQ9" s="305" t="str">
        <f t="shared" si="126"/>
        <v>-</v>
      </c>
      <c r="CR9" s="305" t="str">
        <f t="shared" si="127"/>
        <v>-</v>
      </c>
      <c r="CS9" s="305" t="str">
        <f t="shared" si="128"/>
        <v>-</v>
      </c>
      <c r="CT9" s="305">
        <f t="shared" si="129"/>
        <v>32</v>
      </c>
      <c r="CU9" s="305" t="str">
        <f t="shared" si="130"/>
        <v>-</v>
      </c>
      <c r="CV9" s="305" t="str">
        <f t="shared" si="131"/>
        <v>-</v>
      </c>
      <c r="CX9" s="51" t="str">
        <f t="shared" si="72"/>
        <v>-</v>
      </c>
      <c r="CY9" s="52">
        <f t="shared" si="73"/>
        <v>30.8</v>
      </c>
      <c r="CZ9" s="53" t="str">
        <f t="shared" si="74"/>
        <v>-</v>
      </c>
      <c r="DA9" s="51" t="str">
        <f t="shared" si="75"/>
        <v>-</v>
      </c>
      <c r="DB9" s="52" t="str">
        <f t="shared" si="76"/>
        <v>-</v>
      </c>
      <c r="DC9" s="53" t="str">
        <f t="shared" si="77"/>
        <v>-</v>
      </c>
      <c r="DD9" s="57"/>
      <c r="DE9" s="106" t="str">
        <f t="shared" si="78"/>
        <v>-</v>
      </c>
      <c r="DF9" s="107" t="str">
        <f t="shared" si="79"/>
        <v>-</v>
      </c>
      <c r="DG9" s="107" t="str">
        <f t="shared" si="80"/>
        <v>-</v>
      </c>
      <c r="DH9" s="107" t="str">
        <f t="shared" si="81"/>
        <v>-</v>
      </c>
      <c r="DI9" s="107" t="str">
        <f t="shared" si="82"/>
        <v>-</v>
      </c>
      <c r="DJ9" s="107" t="str">
        <f t="shared" si="83"/>
        <v>-</v>
      </c>
      <c r="DK9" s="107" t="str">
        <f t="shared" si="84"/>
        <v>-</v>
      </c>
      <c r="DL9" s="107" t="str">
        <f t="shared" si="85"/>
        <v>-</v>
      </c>
      <c r="DM9" s="108" t="str">
        <f t="shared" si="86"/>
        <v>-</v>
      </c>
      <c r="DN9" s="89"/>
      <c r="DO9" s="106" t="str">
        <f t="shared" si="87"/>
        <v>-</v>
      </c>
      <c r="DP9" s="107" t="str">
        <f t="shared" si="88"/>
        <v>-</v>
      </c>
      <c r="DQ9" s="107" t="str">
        <f t="shared" si="89"/>
        <v>-</v>
      </c>
      <c r="DR9" s="107" t="str">
        <f t="shared" si="90"/>
        <v>-</v>
      </c>
      <c r="DS9" s="107" t="str">
        <f t="shared" si="91"/>
        <v>-</v>
      </c>
      <c r="DT9" s="107" t="str">
        <f t="shared" si="92"/>
        <v>-</v>
      </c>
      <c r="DU9" s="107" t="str">
        <f t="shared" si="93"/>
        <v>-</v>
      </c>
      <c r="DV9" s="107" t="str">
        <f t="shared" si="94"/>
        <v>-</v>
      </c>
      <c r="DW9" s="108" t="str">
        <f t="shared" si="95"/>
        <v>-</v>
      </c>
      <c r="DX9" s="109" t="str">
        <f t="shared" si="96"/>
        <v>-</v>
      </c>
      <c r="DY9" s="110" t="str">
        <f t="shared" si="97"/>
        <v>-</v>
      </c>
      <c r="DZ9" s="110" t="str">
        <f t="shared" si="98"/>
        <v>-</v>
      </c>
      <c r="EA9" s="110">
        <f t="shared" si="99"/>
        <v>32</v>
      </c>
      <c r="EB9" s="110" t="str">
        <f t="shared" si="100"/>
        <v>-</v>
      </c>
      <c r="EC9" s="110" t="str">
        <f t="shared" si="101"/>
        <v>-</v>
      </c>
      <c r="ED9" s="110" t="str">
        <f t="shared" si="102"/>
        <v>-</v>
      </c>
      <c r="EE9" s="110" t="str">
        <f t="shared" si="103"/>
        <v>-</v>
      </c>
      <c r="EF9" s="111" t="str">
        <f t="shared" si="104"/>
        <v>-</v>
      </c>
      <c r="EG9" s="109" t="str">
        <f t="shared" si="105"/>
        <v>-</v>
      </c>
      <c r="EH9" s="110" t="str">
        <f t="shared" si="106"/>
        <v>-</v>
      </c>
      <c r="EI9" s="110" t="str">
        <f t="shared" si="107"/>
        <v>-</v>
      </c>
      <c r="EJ9" s="110" t="str">
        <f t="shared" si="108"/>
        <v>-</v>
      </c>
      <c r="EK9" s="110" t="str">
        <f t="shared" si="109"/>
        <v>-</v>
      </c>
      <c r="EL9" s="110" t="str">
        <f t="shared" si="110"/>
        <v>-</v>
      </c>
      <c r="EM9" s="110" t="str">
        <f t="shared" si="111"/>
        <v>-</v>
      </c>
      <c r="EN9" s="110" t="str">
        <f t="shared" si="112"/>
        <v>-</v>
      </c>
      <c r="EO9" s="111" t="str">
        <f t="shared" si="113"/>
        <v>-</v>
      </c>
      <c r="EQ9" s="118">
        <f t="shared" si="114"/>
        <v>30.8</v>
      </c>
      <c r="ER9" s="119" t="str">
        <f t="shared" si="115"/>
        <v>-</v>
      </c>
      <c r="ES9" s="120" t="str">
        <f t="shared" si="116"/>
        <v>-</v>
      </c>
      <c r="ET9" s="90">
        <v>2</v>
      </c>
      <c r="EU9" s="118">
        <f t="shared" si="117"/>
        <v>2</v>
      </c>
      <c r="EV9" s="119" t="str">
        <f t="shared" si="118"/>
        <v>-</v>
      </c>
      <c r="EW9" s="120" t="str">
        <f t="shared" si="119"/>
        <v>-</v>
      </c>
    </row>
    <row r="10" spans="1:153" ht="15.75" thickBot="1" x14ac:dyDescent="0.3">
      <c r="A10" s="41"/>
      <c r="B10" s="171" t="s">
        <v>444</v>
      </c>
      <c r="C10" s="171" t="s">
        <v>445</v>
      </c>
      <c r="D10" s="42">
        <f>VLOOKUP(B10,'BASE DE DATOS'!$B$3:$E$106,2,FALSE)</f>
        <v>38.78</v>
      </c>
      <c r="E10" s="42">
        <f>VLOOKUP(B10,'BASE DE DATOS'!$B$3:$E$106,4,FALSE)</f>
        <v>1.259999999999998</v>
      </c>
      <c r="F10" s="42">
        <f>VLOOKUP(C10,'BASE DE DATOS'!$B$3:$E$106,2,FALSE)</f>
        <v>38.39</v>
      </c>
      <c r="G10" s="42">
        <f>VLOOKUP(C10,'BASE DE DATOS'!$B$3:$E$106,4,FALSE)</f>
        <v>1.3900000000000006</v>
      </c>
      <c r="H10" s="43">
        <f t="shared" si="120"/>
        <v>1.3249999999999993</v>
      </c>
      <c r="I10" s="171">
        <v>49.46</v>
      </c>
      <c r="J10" s="44">
        <f t="shared" si="121"/>
        <v>49.46</v>
      </c>
      <c r="K10" s="40">
        <f t="shared" si="122"/>
        <v>47.86</v>
      </c>
      <c r="L10" s="40">
        <f t="shared" si="123"/>
        <v>48.26</v>
      </c>
      <c r="M10" s="44">
        <f t="shared" si="124"/>
        <v>200</v>
      </c>
      <c r="N10" s="40">
        <f t="shared" si="125"/>
        <v>49.46</v>
      </c>
      <c r="O10" s="171" t="s">
        <v>120</v>
      </c>
      <c r="P10" s="19">
        <v>187.6</v>
      </c>
      <c r="Q10" s="171" t="s">
        <v>123</v>
      </c>
      <c r="R10" s="202" t="s">
        <v>133</v>
      </c>
      <c r="S10" s="171" t="s">
        <v>148</v>
      </c>
      <c r="T10" s="171" t="s">
        <v>149</v>
      </c>
      <c r="V10" s="51" t="str">
        <f t="shared" si="0"/>
        <v>-</v>
      </c>
      <c r="W10" s="52" t="str">
        <f t="shared" si="1"/>
        <v>-</v>
      </c>
      <c r="X10" s="52" t="str">
        <f t="shared" si="2"/>
        <v>-</v>
      </c>
      <c r="Y10" s="52" t="str">
        <f t="shared" si="3"/>
        <v>-</v>
      </c>
      <c r="Z10" s="52" t="str">
        <f t="shared" si="4"/>
        <v>-</v>
      </c>
      <c r="AA10" s="52" t="str">
        <f t="shared" si="5"/>
        <v>-</v>
      </c>
      <c r="AB10" s="52" t="str">
        <f t="shared" si="6"/>
        <v>-</v>
      </c>
      <c r="AC10" s="52" t="str">
        <f t="shared" si="7"/>
        <v>-</v>
      </c>
      <c r="AD10" s="52" t="str">
        <f t="shared" si="8"/>
        <v>-</v>
      </c>
      <c r="AE10" s="52" t="str">
        <f t="shared" si="9"/>
        <v>-</v>
      </c>
      <c r="AF10" s="52" t="str">
        <f t="shared" si="10"/>
        <v>-</v>
      </c>
      <c r="AG10" s="52" t="str">
        <f t="shared" si="11"/>
        <v>-</v>
      </c>
      <c r="AH10" s="52" t="str">
        <f t="shared" si="12"/>
        <v>-</v>
      </c>
      <c r="AI10" s="52" t="str">
        <f t="shared" si="13"/>
        <v>-</v>
      </c>
      <c r="AJ10" s="52" t="str">
        <f t="shared" si="14"/>
        <v>-</v>
      </c>
      <c r="AK10" s="52" t="str">
        <f t="shared" si="15"/>
        <v>-</v>
      </c>
      <c r="AL10" s="52" t="str">
        <f t="shared" si="16"/>
        <v>-</v>
      </c>
      <c r="AM10" s="53" t="str">
        <f t="shared" si="17"/>
        <v>-</v>
      </c>
      <c r="AN10" s="51" t="str">
        <f t="shared" si="18"/>
        <v>-</v>
      </c>
      <c r="AO10" s="52" t="str">
        <f t="shared" si="19"/>
        <v>-</v>
      </c>
      <c r="AP10" s="52" t="str">
        <f t="shared" si="20"/>
        <v>-</v>
      </c>
      <c r="AQ10" s="52" t="str">
        <f t="shared" si="21"/>
        <v>-</v>
      </c>
      <c r="AR10" s="52" t="str">
        <f t="shared" si="22"/>
        <v>-</v>
      </c>
      <c r="AS10" s="52" t="str">
        <f t="shared" si="23"/>
        <v>-</v>
      </c>
      <c r="AT10" s="52" t="str">
        <f t="shared" si="24"/>
        <v>-</v>
      </c>
      <c r="AU10" s="52" t="str">
        <f t="shared" si="25"/>
        <v>-</v>
      </c>
      <c r="AV10" s="52" t="str">
        <f t="shared" si="26"/>
        <v>-</v>
      </c>
      <c r="AW10" s="52" t="str">
        <f t="shared" si="27"/>
        <v>-</v>
      </c>
      <c r="AX10" s="52" t="str">
        <f t="shared" si="28"/>
        <v>-</v>
      </c>
      <c r="AY10" s="52" t="str">
        <f t="shared" si="29"/>
        <v>-</v>
      </c>
      <c r="AZ10" s="52" t="str">
        <f t="shared" si="30"/>
        <v>-</v>
      </c>
      <c r="BA10" s="52" t="str">
        <f t="shared" si="31"/>
        <v>-</v>
      </c>
      <c r="BB10" s="52" t="str">
        <f t="shared" si="32"/>
        <v>-</v>
      </c>
      <c r="BC10" s="52" t="str">
        <f t="shared" si="33"/>
        <v>-</v>
      </c>
      <c r="BD10" s="52" t="str">
        <f t="shared" si="34"/>
        <v>-</v>
      </c>
      <c r="BE10" s="53" t="str">
        <f t="shared" si="35"/>
        <v>-</v>
      </c>
      <c r="BF10" s="51" t="str">
        <f t="shared" si="36"/>
        <v>-</v>
      </c>
      <c r="BG10" s="52" t="str">
        <f t="shared" si="37"/>
        <v>-</v>
      </c>
      <c r="BH10" s="52" t="str">
        <f t="shared" si="38"/>
        <v>-</v>
      </c>
      <c r="BI10" s="52">
        <f t="shared" si="39"/>
        <v>47.86</v>
      </c>
      <c r="BJ10" s="52" t="str">
        <f t="shared" si="40"/>
        <v>-</v>
      </c>
      <c r="BK10" s="52" t="str">
        <f t="shared" si="41"/>
        <v>-</v>
      </c>
      <c r="BL10" s="52" t="str">
        <f t="shared" si="42"/>
        <v>-</v>
      </c>
      <c r="BM10" s="52" t="str">
        <f t="shared" si="43"/>
        <v>-</v>
      </c>
      <c r="BN10" s="52" t="str">
        <f t="shared" si="44"/>
        <v>-</v>
      </c>
      <c r="BO10" s="52" t="str">
        <f t="shared" si="45"/>
        <v>-</v>
      </c>
      <c r="BP10" s="52" t="str">
        <f t="shared" si="46"/>
        <v>-</v>
      </c>
      <c r="BQ10" s="52" t="str">
        <f t="shared" si="47"/>
        <v>-</v>
      </c>
      <c r="BR10" s="52" t="str">
        <f t="shared" si="48"/>
        <v>-</v>
      </c>
      <c r="BS10" s="52" t="str">
        <f t="shared" si="49"/>
        <v>-</v>
      </c>
      <c r="BT10" s="52" t="str">
        <f t="shared" si="50"/>
        <v>-</v>
      </c>
      <c r="BU10" s="52" t="str">
        <f t="shared" si="51"/>
        <v>-</v>
      </c>
      <c r="BV10" s="52" t="str">
        <f t="shared" si="52"/>
        <v>-</v>
      </c>
      <c r="BW10" s="53" t="str">
        <f t="shared" si="53"/>
        <v>-</v>
      </c>
      <c r="BX10" s="51" t="str">
        <f t="shared" si="54"/>
        <v>-</v>
      </c>
      <c r="BY10" s="52" t="str">
        <f t="shared" si="55"/>
        <v>-</v>
      </c>
      <c r="BZ10" s="52" t="str">
        <f t="shared" si="56"/>
        <v>-</v>
      </c>
      <c r="CA10" s="52" t="str">
        <f t="shared" si="57"/>
        <v>-</v>
      </c>
      <c r="CB10" s="52" t="str">
        <f t="shared" si="58"/>
        <v>-</v>
      </c>
      <c r="CC10" s="52" t="str">
        <f t="shared" si="59"/>
        <v>-</v>
      </c>
      <c r="CD10" s="52" t="str">
        <f t="shared" si="60"/>
        <v>-</v>
      </c>
      <c r="CE10" s="52" t="str">
        <f t="shared" si="61"/>
        <v>-</v>
      </c>
      <c r="CF10" s="52" t="str">
        <f t="shared" si="62"/>
        <v>-</v>
      </c>
      <c r="CG10" s="52" t="str">
        <f t="shared" si="63"/>
        <v>-</v>
      </c>
      <c r="CH10" s="52" t="str">
        <f t="shared" si="64"/>
        <v>-</v>
      </c>
      <c r="CI10" s="52" t="str">
        <f t="shared" si="65"/>
        <v>-</v>
      </c>
      <c r="CJ10" s="52" t="str">
        <f t="shared" si="66"/>
        <v>-</v>
      </c>
      <c r="CK10" s="52" t="str">
        <f t="shared" si="67"/>
        <v>-</v>
      </c>
      <c r="CL10" s="52" t="str">
        <f t="shared" si="68"/>
        <v>-</v>
      </c>
      <c r="CM10" s="52" t="str">
        <f t="shared" si="69"/>
        <v>-</v>
      </c>
      <c r="CN10" s="52" t="str">
        <f t="shared" si="70"/>
        <v>-</v>
      </c>
      <c r="CO10" s="53" t="str">
        <f t="shared" si="71"/>
        <v>-</v>
      </c>
      <c r="CQ10" s="305" t="str">
        <f t="shared" si="126"/>
        <v>-</v>
      </c>
      <c r="CR10" s="305" t="str">
        <f t="shared" si="127"/>
        <v>-</v>
      </c>
      <c r="CS10" s="305" t="str">
        <f t="shared" si="128"/>
        <v>-</v>
      </c>
      <c r="CT10" s="305">
        <f t="shared" si="129"/>
        <v>49.46</v>
      </c>
      <c r="CU10" s="305" t="str">
        <f t="shared" si="130"/>
        <v>-</v>
      </c>
      <c r="CV10" s="305" t="str">
        <f t="shared" si="131"/>
        <v>-</v>
      </c>
      <c r="CX10" s="51" t="str">
        <f t="shared" si="72"/>
        <v>-</v>
      </c>
      <c r="CY10" s="52">
        <f t="shared" si="73"/>
        <v>48.26</v>
      </c>
      <c r="CZ10" s="53" t="str">
        <f t="shared" si="74"/>
        <v>-</v>
      </c>
      <c r="DA10" s="51" t="str">
        <f t="shared" si="75"/>
        <v>-</v>
      </c>
      <c r="DB10" s="52" t="str">
        <f t="shared" si="76"/>
        <v>-</v>
      </c>
      <c r="DC10" s="53" t="str">
        <f t="shared" si="77"/>
        <v>-</v>
      </c>
      <c r="DD10" s="57"/>
      <c r="DE10" s="106" t="str">
        <f t="shared" si="78"/>
        <v>-</v>
      </c>
      <c r="DF10" s="107" t="str">
        <f t="shared" si="79"/>
        <v>-</v>
      </c>
      <c r="DG10" s="107" t="str">
        <f t="shared" si="80"/>
        <v>-</v>
      </c>
      <c r="DH10" s="107" t="str">
        <f t="shared" si="81"/>
        <v>-</v>
      </c>
      <c r="DI10" s="107" t="str">
        <f t="shared" si="82"/>
        <v>-</v>
      </c>
      <c r="DJ10" s="107" t="str">
        <f t="shared" si="83"/>
        <v>-</v>
      </c>
      <c r="DK10" s="107" t="str">
        <f t="shared" si="84"/>
        <v>-</v>
      </c>
      <c r="DL10" s="107" t="str">
        <f t="shared" si="85"/>
        <v>-</v>
      </c>
      <c r="DM10" s="108" t="str">
        <f t="shared" si="86"/>
        <v>-</v>
      </c>
      <c r="DN10" s="89"/>
      <c r="DO10" s="106" t="str">
        <f t="shared" si="87"/>
        <v>-</v>
      </c>
      <c r="DP10" s="107" t="str">
        <f t="shared" si="88"/>
        <v>-</v>
      </c>
      <c r="DQ10" s="107" t="str">
        <f t="shared" si="89"/>
        <v>-</v>
      </c>
      <c r="DR10" s="107" t="str">
        <f t="shared" si="90"/>
        <v>-</v>
      </c>
      <c r="DS10" s="107" t="str">
        <f t="shared" si="91"/>
        <v>-</v>
      </c>
      <c r="DT10" s="107" t="str">
        <f t="shared" si="92"/>
        <v>-</v>
      </c>
      <c r="DU10" s="107" t="str">
        <f t="shared" si="93"/>
        <v>-</v>
      </c>
      <c r="DV10" s="107" t="str">
        <f t="shared" si="94"/>
        <v>-</v>
      </c>
      <c r="DW10" s="108" t="str">
        <f t="shared" si="95"/>
        <v>-</v>
      </c>
      <c r="DX10" s="109" t="str">
        <f t="shared" si="96"/>
        <v>-</v>
      </c>
      <c r="DY10" s="110" t="str">
        <f t="shared" si="97"/>
        <v>-</v>
      </c>
      <c r="DZ10" s="110" t="str">
        <f t="shared" si="98"/>
        <v>-</v>
      </c>
      <c r="EA10" s="110">
        <f t="shared" si="99"/>
        <v>49.46</v>
      </c>
      <c r="EB10" s="110" t="str">
        <f t="shared" si="100"/>
        <v>-</v>
      </c>
      <c r="EC10" s="110" t="str">
        <f t="shared" si="101"/>
        <v>-</v>
      </c>
      <c r="ED10" s="110" t="str">
        <f t="shared" si="102"/>
        <v>-</v>
      </c>
      <c r="EE10" s="110" t="str">
        <f t="shared" si="103"/>
        <v>-</v>
      </c>
      <c r="EF10" s="111" t="str">
        <f t="shared" si="104"/>
        <v>-</v>
      </c>
      <c r="EG10" s="109" t="str">
        <f t="shared" si="105"/>
        <v>-</v>
      </c>
      <c r="EH10" s="110" t="str">
        <f t="shared" si="106"/>
        <v>-</v>
      </c>
      <c r="EI10" s="110" t="str">
        <f t="shared" si="107"/>
        <v>-</v>
      </c>
      <c r="EJ10" s="110" t="str">
        <f t="shared" si="108"/>
        <v>-</v>
      </c>
      <c r="EK10" s="110" t="str">
        <f t="shared" si="109"/>
        <v>-</v>
      </c>
      <c r="EL10" s="110" t="str">
        <f t="shared" si="110"/>
        <v>-</v>
      </c>
      <c r="EM10" s="110" t="str">
        <f t="shared" si="111"/>
        <v>-</v>
      </c>
      <c r="EN10" s="110" t="str">
        <f t="shared" si="112"/>
        <v>-</v>
      </c>
      <c r="EO10" s="111" t="str">
        <f t="shared" si="113"/>
        <v>-</v>
      </c>
      <c r="EQ10" s="118">
        <f t="shared" si="114"/>
        <v>48.26</v>
      </c>
      <c r="ER10" s="119" t="str">
        <f t="shared" si="115"/>
        <v>-</v>
      </c>
      <c r="ES10" s="120" t="str">
        <f t="shared" si="116"/>
        <v>-</v>
      </c>
      <c r="ET10" s="90">
        <v>2</v>
      </c>
      <c r="EU10" s="118">
        <f t="shared" si="117"/>
        <v>2</v>
      </c>
      <c r="EV10" s="119" t="str">
        <f t="shared" si="118"/>
        <v>-</v>
      </c>
      <c r="EW10" s="120" t="str">
        <f t="shared" si="119"/>
        <v>-</v>
      </c>
    </row>
    <row r="11" spans="1:153" ht="15.75" thickBot="1" x14ac:dyDescent="0.3">
      <c r="A11" s="41"/>
      <c r="B11" s="171" t="s">
        <v>445</v>
      </c>
      <c r="C11" s="171" t="s">
        <v>447</v>
      </c>
      <c r="D11" s="42">
        <f>VLOOKUP(B11,'BASE DE DATOS'!$B$3:$E$106,2,FALSE)</f>
        <v>38.39</v>
      </c>
      <c r="E11" s="42">
        <f>VLOOKUP(B11,'BASE DE DATOS'!$B$3:$E$106,4,FALSE)</f>
        <v>1.3900000000000006</v>
      </c>
      <c r="F11" s="42">
        <f>VLOOKUP(C11,'BASE DE DATOS'!$B$3:$E$106,2,FALSE)</f>
        <v>38.19</v>
      </c>
      <c r="G11" s="42">
        <f>VLOOKUP(C11,'BASE DE DATOS'!$B$3:$E$106,4,FALSE)</f>
        <v>1.8399999999999963</v>
      </c>
      <c r="H11" s="43">
        <f t="shared" si="120"/>
        <v>1.6149999999999984</v>
      </c>
      <c r="I11" s="171">
        <v>47.14</v>
      </c>
      <c r="J11" s="44">
        <f t="shared" si="121"/>
        <v>47.14</v>
      </c>
      <c r="K11" s="40">
        <f t="shared" si="122"/>
        <v>45.54</v>
      </c>
      <c r="L11" s="40">
        <f t="shared" si="123"/>
        <v>45.94</v>
      </c>
      <c r="M11" s="44">
        <f t="shared" si="124"/>
        <v>200</v>
      </c>
      <c r="N11" s="40">
        <f t="shared" si="125"/>
        <v>47.14</v>
      </c>
      <c r="O11" s="171" t="s">
        <v>120</v>
      </c>
      <c r="P11" s="19">
        <v>187.6</v>
      </c>
      <c r="Q11" s="171" t="s">
        <v>123</v>
      </c>
      <c r="R11" s="171" t="s">
        <v>133</v>
      </c>
      <c r="S11" s="171" t="s">
        <v>147</v>
      </c>
      <c r="T11" s="171" t="s">
        <v>146</v>
      </c>
      <c r="V11" s="51" t="str">
        <f t="shared" si="0"/>
        <v>-</v>
      </c>
      <c r="W11" s="52" t="str">
        <f t="shared" si="1"/>
        <v>-</v>
      </c>
      <c r="X11" s="52" t="str">
        <f t="shared" si="2"/>
        <v>-</v>
      </c>
      <c r="Y11" s="52" t="str">
        <f t="shared" si="3"/>
        <v>-</v>
      </c>
      <c r="Z11" s="52" t="str">
        <f t="shared" si="4"/>
        <v>-</v>
      </c>
      <c r="AA11" s="52">
        <f t="shared" si="5"/>
        <v>45.54</v>
      </c>
      <c r="AB11" s="52" t="str">
        <f t="shared" si="6"/>
        <v>-</v>
      </c>
      <c r="AC11" s="52" t="str">
        <f t="shared" si="7"/>
        <v>-</v>
      </c>
      <c r="AD11" s="52" t="str">
        <f t="shared" si="8"/>
        <v>-</v>
      </c>
      <c r="AE11" s="52" t="str">
        <f t="shared" si="9"/>
        <v>-</v>
      </c>
      <c r="AF11" s="52" t="str">
        <f t="shared" si="10"/>
        <v>-</v>
      </c>
      <c r="AG11" s="52" t="str">
        <f t="shared" si="11"/>
        <v>-</v>
      </c>
      <c r="AH11" s="52" t="str">
        <f t="shared" si="12"/>
        <v>-</v>
      </c>
      <c r="AI11" s="52" t="str">
        <f t="shared" si="13"/>
        <v>-</v>
      </c>
      <c r="AJ11" s="52" t="str">
        <f t="shared" si="14"/>
        <v>-</v>
      </c>
      <c r="AK11" s="52" t="str">
        <f t="shared" si="15"/>
        <v>-</v>
      </c>
      <c r="AL11" s="52" t="str">
        <f t="shared" si="16"/>
        <v>-</v>
      </c>
      <c r="AM11" s="53" t="str">
        <f t="shared" si="17"/>
        <v>-</v>
      </c>
      <c r="AN11" s="51" t="str">
        <f t="shared" si="18"/>
        <v>-</v>
      </c>
      <c r="AO11" s="52" t="str">
        <f t="shared" si="19"/>
        <v>-</v>
      </c>
      <c r="AP11" s="52" t="str">
        <f t="shared" si="20"/>
        <v>-</v>
      </c>
      <c r="AQ11" s="52" t="str">
        <f t="shared" si="21"/>
        <v>-</v>
      </c>
      <c r="AR11" s="52" t="str">
        <f t="shared" si="22"/>
        <v>-</v>
      </c>
      <c r="AS11" s="52" t="str">
        <f t="shared" si="23"/>
        <v>-</v>
      </c>
      <c r="AT11" s="52" t="str">
        <f t="shared" si="24"/>
        <v>-</v>
      </c>
      <c r="AU11" s="52" t="str">
        <f t="shared" si="25"/>
        <v>-</v>
      </c>
      <c r="AV11" s="52" t="str">
        <f t="shared" si="26"/>
        <v>-</v>
      </c>
      <c r="AW11" s="52" t="str">
        <f t="shared" si="27"/>
        <v>-</v>
      </c>
      <c r="AX11" s="52" t="str">
        <f t="shared" si="28"/>
        <v>-</v>
      </c>
      <c r="AY11" s="52" t="str">
        <f t="shared" si="29"/>
        <v>-</v>
      </c>
      <c r="AZ11" s="52" t="str">
        <f t="shared" si="30"/>
        <v>-</v>
      </c>
      <c r="BA11" s="52" t="str">
        <f t="shared" si="31"/>
        <v>-</v>
      </c>
      <c r="BB11" s="52" t="str">
        <f t="shared" si="32"/>
        <v>-</v>
      </c>
      <c r="BC11" s="52" t="str">
        <f t="shared" si="33"/>
        <v>-</v>
      </c>
      <c r="BD11" s="52" t="str">
        <f t="shared" si="34"/>
        <v>-</v>
      </c>
      <c r="BE11" s="53" t="str">
        <f t="shared" si="35"/>
        <v>-</v>
      </c>
      <c r="BF11" s="51" t="str">
        <f t="shared" si="36"/>
        <v>-</v>
      </c>
      <c r="BG11" s="52" t="str">
        <f t="shared" si="37"/>
        <v>-</v>
      </c>
      <c r="BH11" s="52" t="str">
        <f t="shared" si="38"/>
        <v>-</v>
      </c>
      <c r="BI11" s="52" t="str">
        <f t="shared" si="39"/>
        <v>-</v>
      </c>
      <c r="BJ11" s="52" t="str">
        <f t="shared" si="40"/>
        <v>-</v>
      </c>
      <c r="BK11" s="52" t="str">
        <f t="shared" si="41"/>
        <v>-</v>
      </c>
      <c r="BL11" s="52" t="str">
        <f t="shared" si="42"/>
        <v>-</v>
      </c>
      <c r="BM11" s="52" t="str">
        <f t="shared" si="43"/>
        <v>-</v>
      </c>
      <c r="BN11" s="52" t="str">
        <f t="shared" si="44"/>
        <v>-</v>
      </c>
      <c r="BO11" s="52" t="str">
        <f t="shared" si="45"/>
        <v>-</v>
      </c>
      <c r="BP11" s="52" t="str">
        <f t="shared" si="46"/>
        <v>-</v>
      </c>
      <c r="BQ11" s="52" t="str">
        <f t="shared" si="47"/>
        <v>-</v>
      </c>
      <c r="BR11" s="52" t="str">
        <f t="shared" si="48"/>
        <v>-</v>
      </c>
      <c r="BS11" s="52" t="str">
        <f t="shared" si="49"/>
        <v>-</v>
      </c>
      <c r="BT11" s="52" t="str">
        <f t="shared" si="50"/>
        <v>-</v>
      </c>
      <c r="BU11" s="52" t="str">
        <f t="shared" si="51"/>
        <v>-</v>
      </c>
      <c r="BV11" s="52" t="str">
        <f t="shared" si="52"/>
        <v>-</v>
      </c>
      <c r="BW11" s="53" t="str">
        <f t="shared" si="53"/>
        <v>-</v>
      </c>
      <c r="BX11" s="51" t="str">
        <f t="shared" si="54"/>
        <v>-</v>
      </c>
      <c r="BY11" s="52" t="str">
        <f t="shared" si="55"/>
        <v>-</v>
      </c>
      <c r="BZ11" s="52" t="str">
        <f t="shared" si="56"/>
        <v>-</v>
      </c>
      <c r="CA11" s="52" t="str">
        <f t="shared" si="57"/>
        <v>-</v>
      </c>
      <c r="CB11" s="52" t="str">
        <f t="shared" si="58"/>
        <v>-</v>
      </c>
      <c r="CC11" s="52" t="str">
        <f t="shared" si="59"/>
        <v>-</v>
      </c>
      <c r="CD11" s="52" t="str">
        <f t="shared" si="60"/>
        <v>-</v>
      </c>
      <c r="CE11" s="52" t="str">
        <f t="shared" si="61"/>
        <v>-</v>
      </c>
      <c r="CF11" s="52" t="str">
        <f t="shared" si="62"/>
        <v>-</v>
      </c>
      <c r="CG11" s="52" t="str">
        <f t="shared" si="63"/>
        <v>-</v>
      </c>
      <c r="CH11" s="52" t="str">
        <f t="shared" si="64"/>
        <v>-</v>
      </c>
      <c r="CI11" s="52" t="str">
        <f t="shared" si="65"/>
        <v>-</v>
      </c>
      <c r="CJ11" s="52" t="str">
        <f t="shared" si="66"/>
        <v>-</v>
      </c>
      <c r="CK11" s="52" t="str">
        <f t="shared" si="67"/>
        <v>-</v>
      </c>
      <c r="CL11" s="52" t="str">
        <f t="shared" si="68"/>
        <v>-</v>
      </c>
      <c r="CM11" s="52" t="str">
        <f t="shared" si="69"/>
        <v>-</v>
      </c>
      <c r="CN11" s="52" t="str">
        <f t="shared" si="70"/>
        <v>-</v>
      </c>
      <c r="CO11" s="53" t="str">
        <f t="shared" si="71"/>
        <v>-</v>
      </c>
      <c r="CQ11" s="305" t="str">
        <f t="shared" si="126"/>
        <v>-</v>
      </c>
      <c r="CR11" s="305">
        <f t="shared" si="127"/>
        <v>47.14</v>
      </c>
      <c r="CS11" s="305" t="str">
        <f t="shared" si="128"/>
        <v>-</v>
      </c>
      <c r="CT11" s="305" t="str">
        <f t="shared" si="129"/>
        <v>-</v>
      </c>
      <c r="CU11" s="305" t="str">
        <f t="shared" si="130"/>
        <v>-</v>
      </c>
      <c r="CV11" s="305" t="str">
        <f t="shared" si="131"/>
        <v>-</v>
      </c>
      <c r="CX11" s="51" t="str">
        <f t="shared" si="72"/>
        <v>-</v>
      </c>
      <c r="CY11" s="52">
        <f t="shared" si="73"/>
        <v>45.94</v>
      </c>
      <c r="CZ11" s="53" t="str">
        <f t="shared" si="74"/>
        <v>-</v>
      </c>
      <c r="DA11" s="51" t="str">
        <f t="shared" si="75"/>
        <v>-</v>
      </c>
      <c r="DB11" s="52" t="str">
        <f t="shared" si="76"/>
        <v>-</v>
      </c>
      <c r="DC11" s="53" t="str">
        <f t="shared" si="77"/>
        <v>-</v>
      </c>
      <c r="DD11" s="57"/>
      <c r="DE11" s="106" t="str">
        <f t="shared" si="78"/>
        <v>-</v>
      </c>
      <c r="DF11" s="107" t="str">
        <f t="shared" si="79"/>
        <v>-</v>
      </c>
      <c r="DG11" s="107" t="str">
        <f t="shared" si="80"/>
        <v>-</v>
      </c>
      <c r="DH11" s="107" t="str">
        <f t="shared" si="81"/>
        <v>-</v>
      </c>
      <c r="DI11" s="107" t="str">
        <f t="shared" si="82"/>
        <v>-</v>
      </c>
      <c r="DJ11" s="107" t="str">
        <f t="shared" si="83"/>
        <v>-</v>
      </c>
      <c r="DK11" s="107" t="str">
        <f t="shared" si="84"/>
        <v>-</v>
      </c>
      <c r="DL11" s="107" t="str">
        <f t="shared" si="85"/>
        <v>-</v>
      </c>
      <c r="DM11" s="108" t="str">
        <f t="shared" si="86"/>
        <v>-</v>
      </c>
      <c r="DO11" s="106" t="str">
        <f t="shared" si="87"/>
        <v>-</v>
      </c>
      <c r="DP11" s="107" t="str">
        <f t="shared" si="88"/>
        <v>-</v>
      </c>
      <c r="DQ11" s="107" t="str">
        <f t="shared" si="89"/>
        <v>-</v>
      </c>
      <c r="DR11" s="107" t="str">
        <f t="shared" si="90"/>
        <v>-</v>
      </c>
      <c r="DS11" s="107" t="str">
        <f t="shared" si="91"/>
        <v>-</v>
      </c>
      <c r="DT11" s="107" t="str">
        <f t="shared" si="92"/>
        <v>-</v>
      </c>
      <c r="DU11" s="107" t="str">
        <f t="shared" si="93"/>
        <v>-</v>
      </c>
      <c r="DV11" s="107" t="str">
        <f t="shared" si="94"/>
        <v>-</v>
      </c>
      <c r="DW11" s="108" t="str">
        <f t="shared" si="95"/>
        <v>-</v>
      </c>
      <c r="DX11" s="109" t="str">
        <f t="shared" si="96"/>
        <v>-</v>
      </c>
      <c r="DY11" s="110" t="str">
        <f t="shared" si="97"/>
        <v>-</v>
      </c>
      <c r="DZ11" s="110" t="str">
        <f t="shared" si="98"/>
        <v>-</v>
      </c>
      <c r="EA11" s="110">
        <f t="shared" si="99"/>
        <v>47.14</v>
      </c>
      <c r="EB11" s="110" t="str">
        <f t="shared" si="100"/>
        <v>-</v>
      </c>
      <c r="EC11" s="110" t="str">
        <f t="shared" si="101"/>
        <v>-</v>
      </c>
      <c r="ED11" s="110" t="str">
        <f t="shared" si="102"/>
        <v>-</v>
      </c>
      <c r="EE11" s="110" t="str">
        <f t="shared" si="103"/>
        <v>-</v>
      </c>
      <c r="EF11" s="111" t="str">
        <f t="shared" si="104"/>
        <v>-</v>
      </c>
      <c r="EG11" s="109" t="str">
        <f t="shared" si="105"/>
        <v>-</v>
      </c>
      <c r="EH11" s="110" t="str">
        <f t="shared" si="106"/>
        <v>-</v>
      </c>
      <c r="EI11" s="110" t="str">
        <f t="shared" si="107"/>
        <v>-</v>
      </c>
      <c r="EJ11" s="110" t="str">
        <f t="shared" si="108"/>
        <v>-</v>
      </c>
      <c r="EK11" s="110" t="str">
        <f t="shared" si="109"/>
        <v>-</v>
      </c>
      <c r="EL11" s="110" t="str">
        <f t="shared" si="110"/>
        <v>-</v>
      </c>
      <c r="EM11" s="110" t="str">
        <f t="shared" si="111"/>
        <v>-</v>
      </c>
      <c r="EN11" s="110" t="str">
        <f t="shared" si="112"/>
        <v>-</v>
      </c>
      <c r="EO11" s="111" t="str">
        <f t="shared" si="113"/>
        <v>-</v>
      </c>
      <c r="EQ11" s="118">
        <f t="shared" si="114"/>
        <v>45.94</v>
      </c>
      <c r="ER11" s="119" t="str">
        <f t="shared" si="115"/>
        <v>-</v>
      </c>
      <c r="ES11" s="120" t="str">
        <f t="shared" si="116"/>
        <v>-</v>
      </c>
      <c r="ET11" s="90">
        <v>2</v>
      </c>
      <c r="EU11" s="118">
        <f t="shared" si="117"/>
        <v>2</v>
      </c>
      <c r="EV11" s="119" t="str">
        <f t="shared" si="118"/>
        <v>-</v>
      </c>
      <c r="EW11" s="120" t="str">
        <f t="shared" si="119"/>
        <v>-</v>
      </c>
    </row>
    <row r="12" spans="1:153" ht="15.75" thickBot="1" x14ac:dyDescent="0.3">
      <c r="A12" s="41"/>
      <c r="B12" s="171" t="s">
        <v>446</v>
      </c>
      <c r="C12" s="171" t="s">
        <v>447</v>
      </c>
      <c r="D12" s="42">
        <f>VLOOKUP(B12,'BASE DE DATOS'!$B$3:$E$106,2,FALSE)</f>
        <v>38.69</v>
      </c>
      <c r="E12" s="42">
        <f>VLOOKUP(B12,'BASE DE DATOS'!$B$3:$E$106,4,FALSE)</f>
        <v>1.269999999999996</v>
      </c>
      <c r="F12" s="42">
        <f>VLOOKUP(C12,'BASE DE DATOS'!$B$3:$E$106,2,FALSE)</f>
        <v>38.19</v>
      </c>
      <c r="G12" s="42">
        <f>VLOOKUP(C12,'BASE DE DATOS'!$B$3:$E$106,4,FALSE)</f>
        <v>1.8399999999999963</v>
      </c>
      <c r="H12" s="43">
        <f t="shared" si="120"/>
        <v>1.5549999999999962</v>
      </c>
      <c r="I12" s="171">
        <v>57.16</v>
      </c>
      <c r="J12" s="44">
        <f t="shared" si="121"/>
        <v>57.16</v>
      </c>
      <c r="K12" s="40">
        <f t="shared" si="122"/>
        <v>55.57</v>
      </c>
      <c r="L12" s="40">
        <f t="shared" si="123"/>
        <v>55.97</v>
      </c>
      <c r="M12" s="40">
        <f t="shared" si="124"/>
        <v>200</v>
      </c>
      <c r="N12" s="40">
        <f t="shared" si="125"/>
        <v>57.16</v>
      </c>
      <c r="O12" s="171" t="s">
        <v>120</v>
      </c>
      <c r="P12" s="19">
        <v>187.6</v>
      </c>
      <c r="Q12" s="171" t="s">
        <v>123</v>
      </c>
      <c r="R12" s="171" t="s">
        <v>133</v>
      </c>
      <c r="S12" s="171" t="s">
        <v>148</v>
      </c>
      <c r="T12" s="171" t="s">
        <v>149</v>
      </c>
      <c r="V12" s="51" t="str">
        <f t="shared" si="0"/>
        <v>-</v>
      </c>
      <c r="W12" s="52" t="str">
        <f t="shared" si="1"/>
        <v>-</v>
      </c>
      <c r="X12" s="52" t="str">
        <f t="shared" si="2"/>
        <v>-</v>
      </c>
      <c r="Y12" s="52" t="str">
        <f t="shared" si="3"/>
        <v>-</v>
      </c>
      <c r="Z12" s="52" t="str">
        <f t="shared" si="4"/>
        <v>-</v>
      </c>
      <c r="AA12" s="52" t="str">
        <f t="shared" si="5"/>
        <v>-</v>
      </c>
      <c r="AB12" s="52" t="str">
        <f t="shared" si="6"/>
        <v>-</v>
      </c>
      <c r="AC12" s="52" t="str">
        <f t="shared" si="7"/>
        <v>-</v>
      </c>
      <c r="AD12" s="52" t="str">
        <f t="shared" si="8"/>
        <v>-</v>
      </c>
      <c r="AE12" s="52" t="str">
        <f t="shared" si="9"/>
        <v>-</v>
      </c>
      <c r="AF12" s="52" t="str">
        <f t="shared" si="10"/>
        <v>-</v>
      </c>
      <c r="AG12" s="52" t="str">
        <f t="shared" si="11"/>
        <v>-</v>
      </c>
      <c r="AH12" s="52" t="str">
        <f t="shared" si="12"/>
        <v>-</v>
      </c>
      <c r="AI12" s="52" t="str">
        <f t="shared" si="13"/>
        <v>-</v>
      </c>
      <c r="AJ12" s="52" t="str">
        <f t="shared" si="14"/>
        <v>-</v>
      </c>
      <c r="AK12" s="52" t="str">
        <f t="shared" si="15"/>
        <v>-</v>
      </c>
      <c r="AL12" s="52" t="str">
        <f t="shared" si="16"/>
        <v>-</v>
      </c>
      <c r="AM12" s="53" t="str">
        <f t="shared" si="17"/>
        <v>-</v>
      </c>
      <c r="AN12" s="51" t="str">
        <f t="shared" si="18"/>
        <v>-</v>
      </c>
      <c r="AO12" s="52" t="str">
        <f t="shared" si="19"/>
        <v>-</v>
      </c>
      <c r="AP12" s="52" t="str">
        <f t="shared" si="20"/>
        <v>-</v>
      </c>
      <c r="AQ12" s="52" t="str">
        <f t="shared" si="21"/>
        <v>-</v>
      </c>
      <c r="AR12" s="52" t="str">
        <f t="shared" si="22"/>
        <v>-</v>
      </c>
      <c r="AS12" s="52" t="str">
        <f t="shared" si="23"/>
        <v>-</v>
      </c>
      <c r="AT12" s="52" t="str">
        <f t="shared" si="24"/>
        <v>-</v>
      </c>
      <c r="AU12" s="52" t="str">
        <f t="shared" si="25"/>
        <v>-</v>
      </c>
      <c r="AV12" s="52" t="str">
        <f t="shared" si="26"/>
        <v>-</v>
      </c>
      <c r="AW12" s="52" t="str">
        <f t="shared" si="27"/>
        <v>-</v>
      </c>
      <c r="AX12" s="52" t="str">
        <f t="shared" si="28"/>
        <v>-</v>
      </c>
      <c r="AY12" s="52" t="str">
        <f t="shared" si="29"/>
        <v>-</v>
      </c>
      <c r="AZ12" s="52" t="str">
        <f t="shared" si="30"/>
        <v>-</v>
      </c>
      <c r="BA12" s="52" t="str">
        <f t="shared" si="31"/>
        <v>-</v>
      </c>
      <c r="BB12" s="52" t="str">
        <f t="shared" si="32"/>
        <v>-</v>
      </c>
      <c r="BC12" s="52" t="str">
        <f t="shared" si="33"/>
        <v>-</v>
      </c>
      <c r="BD12" s="52" t="str">
        <f t="shared" si="34"/>
        <v>-</v>
      </c>
      <c r="BE12" s="53" t="str">
        <f t="shared" si="35"/>
        <v>-</v>
      </c>
      <c r="BF12" s="51" t="str">
        <f t="shared" si="36"/>
        <v>-</v>
      </c>
      <c r="BG12" s="52" t="str">
        <f t="shared" si="37"/>
        <v>-</v>
      </c>
      <c r="BH12" s="52" t="str">
        <f t="shared" si="38"/>
        <v>-</v>
      </c>
      <c r="BI12" s="52" t="str">
        <f t="shared" si="39"/>
        <v>-</v>
      </c>
      <c r="BJ12" s="52" t="str">
        <f t="shared" si="40"/>
        <v>-</v>
      </c>
      <c r="BK12" s="52">
        <f t="shared" si="41"/>
        <v>55.57</v>
      </c>
      <c r="BL12" s="52" t="str">
        <f t="shared" si="42"/>
        <v>-</v>
      </c>
      <c r="BM12" s="52" t="str">
        <f t="shared" si="43"/>
        <v>-</v>
      </c>
      <c r="BN12" s="52" t="str">
        <f t="shared" si="44"/>
        <v>-</v>
      </c>
      <c r="BO12" s="52" t="str">
        <f t="shared" si="45"/>
        <v>-</v>
      </c>
      <c r="BP12" s="52" t="str">
        <f t="shared" si="46"/>
        <v>-</v>
      </c>
      <c r="BQ12" s="52" t="str">
        <f t="shared" si="47"/>
        <v>-</v>
      </c>
      <c r="BR12" s="52" t="str">
        <f t="shared" si="48"/>
        <v>-</v>
      </c>
      <c r="BS12" s="52" t="str">
        <f t="shared" si="49"/>
        <v>-</v>
      </c>
      <c r="BT12" s="52" t="str">
        <f t="shared" si="50"/>
        <v>-</v>
      </c>
      <c r="BU12" s="52" t="str">
        <f t="shared" si="51"/>
        <v>-</v>
      </c>
      <c r="BV12" s="52" t="str">
        <f t="shared" si="52"/>
        <v>-</v>
      </c>
      <c r="BW12" s="53" t="str">
        <f t="shared" si="53"/>
        <v>-</v>
      </c>
      <c r="BX12" s="51" t="str">
        <f t="shared" si="54"/>
        <v>-</v>
      </c>
      <c r="BY12" s="52" t="str">
        <f t="shared" si="55"/>
        <v>-</v>
      </c>
      <c r="BZ12" s="52" t="str">
        <f t="shared" si="56"/>
        <v>-</v>
      </c>
      <c r="CA12" s="52" t="str">
        <f t="shared" si="57"/>
        <v>-</v>
      </c>
      <c r="CB12" s="52" t="str">
        <f t="shared" si="58"/>
        <v>-</v>
      </c>
      <c r="CC12" s="52" t="str">
        <f t="shared" si="59"/>
        <v>-</v>
      </c>
      <c r="CD12" s="52" t="str">
        <f t="shared" si="60"/>
        <v>-</v>
      </c>
      <c r="CE12" s="52" t="str">
        <f t="shared" si="61"/>
        <v>-</v>
      </c>
      <c r="CF12" s="52" t="str">
        <f t="shared" si="62"/>
        <v>-</v>
      </c>
      <c r="CG12" s="52" t="str">
        <f t="shared" si="63"/>
        <v>-</v>
      </c>
      <c r="CH12" s="52" t="str">
        <f t="shared" si="64"/>
        <v>-</v>
      </c>
      <c r="CI12" s="52" t="str">
        <f t="shared" si="65"/>
        <v>-</v>
      </c>
      <c r="CJ12" s="52" t="str">
        <f t="shared" si="66"/>
        <v>-</v>
      </c>
      <c r="CK12" s="52" t="str">
        <f t="shared" si="67"/>
        <v>-</v>
      </c>
      <c r="CL12" s="52" t="str">
        <f t="shared" si="68"/>
        <v>-</v>
      </c>
      <c r="CM12" s="52" t="str">
        <f t="shared" si="69"/>
        <v>-</v>
      </c>
      <c r="CN12" s="52" t="str">
        <f t="shared" si="70"/>
        <v>-</v>
      </c>
      <c r="CO12" s="53" t="str">
        <f t="shared" si="71"/>
        <v>-</v>
      </c>
      <c r="CQ12" s="305" t="str">
        <f t="shared" si="126"/>
        <v>-</v>
      </c>
      <c r="CR12" s="305" t="str">
        <f t="shared" si="127"/>
        <v>-</v>
      </c>
      <c r="CS12" s="305" t="str">
        <f t="shared" si="128"/>
        <v>-</v>
      </c>
      <c r="CT12" s="305">
        <f t="shared" si="129"/>
        <v>57.16</v>
      </c>
      <c r="CU12" s="305" t="str">
        <f t="shared" si="130"/>
        <v>-</v>
      </c>
      <c r="CV12" s="305" t="str">
        <f t="shared" si="131"/>
        <v>-</v>
      </c>
      <c r="CX12" s="51" t="str">
        <f t="shared" si="72"/>
        <v>-</v>
      </c>
      <c r="CY12" s="52">
        <f t="shared" si="73"/>
        <v>55.97</v>
      </c>
      <c r="CZ12" s="53" t="str">
        <f t="shared" si="74"/>
        <v>-</v>
      </c>
      <c r="DA12" s="51" t="str">
        <f t="shared" si="75"/>
        <v>-</v>
      </c>
      <c r="DB12" s="52" t="str">
        <f t="shared" si="76"/>
        <v>-</v>
      </c>
      <c r="DC12" s="53" t="str">
        <f t="shared" si="77"/>
        <v>-</v>
      </c>
      <c r="DD12" s="57"/>
      <c r="DE12" s="106" t="str">
        <f t="shared" si="78"/>
        <v>-</v>
      </c>
      <c r="DF12" s="107" t="str">
        <f t="shared" si="79"/>
        <v>-</v>
      </c>
      <c r="DG12" s="107" t="str">
        <f t="shared" si="80"/>
        <v>-</v>
      </c>
      <c r="DH12" s="107" t="str">
        <f t="shared" si="81"/>
        <v>-</v>
      </c>
      <c r="DI12" s="107" t="str">
        <f t="shared" si="82"/>
        <v>-</v>
      </c>
      <c r="DJ12" s="107" t="str">
        <f t="shared" si="83"/>
        <v>-</v>
      </c>
      <c r="DK12" s="107" t="str">
        <f t="shared" si="84"/>
        <v>-</v>
      </c>
      <c r="DL12" s="107" t="str">
        <f t="shared" si="85"/>
        <v>-</v>
      </c>
      <c r="DM12" s="108" t="str">
        <f t="shared" si="86"/>
        <v>-</v>
      </c>
      <c r="DO12" s="106" t="str">
        <f t="shared" si="87"/>
        <v>-</v>
      </c>
      <c r="DP12" s="107" t="str">
        <f t="shared" si="88"/>
        <v>-</v>
      </c>
      <c r="DQ12" s="107" t="str">
        <f t="shared" si="89"/>
        <v>-</v>
      </c>
      <c r="DR12" s="107" t="str">
        <f t="shared" si="90"/>
        <v>-</v>
      </c>
      <c r="DS12" s="107" t="str">
        <f t="shared" si="91"/>
        <v>-</v>
      </c>
      <c r="DT12" s="107" t="str">
        <f t="shared" si="92"/>
        <v>-</v>
      </c>
      <c r="DU12" s="107" t="str">
        <f t="shared" si="93"/>
        <v>-</v>
      </c>
      <c r="DV12" s="107" t="str">
        <f t="shared" si="94"/>
        <v>-</v>
      </c>
      <c r="DW12" s="108" t="str">
        <f t="shared" si="95"/>
        <v>-</v>
      </c>
      <c r="DX12" s="109" t="str">
        <f t="shared" si="96"/>
        <v>-</v>
      </c>
      <c r="DY12" s="110" t="str">
        <f t="shared" si="97"/>
        <v>-</v>
      </c>
      <c r="DZ12" s="110" t="str">
        <f t="shared" si="98"/>
        <v>-</v>
      </c>
      <c r="EA12" s="110">
        <f t="shared" si="99"/>
        <v>57.16</v>
      </c>
      <c r="EB12" s="110" t="str">
        <f t="shared" si="100"/>
        <v>-</v>
      </c>
      <c r="EC12" s="110" t="str">
        <f t="shared" si="101"/>
        <v>-</v>
      </c>
      <c r="ED12" s="110" t="str">
        <f t="shared" si="102"/>
        <v>-</v>
      </c>
      <c r="EE12" s="110" t="str">
        <f t="shared" si="103"/>
        <v>-</v>
      </c>
      <c r="EF12" s="111" t="str">
        <f t="shared" si="104"/>
        <v>-</v>
      </c>
      <c r="EG12" s="109" t="str">
        <f t="shared" si="105"/>
        <v>-</v>
      </c>
      <c r="EH12" s="110" t="str">
        <f t="shared" si="106"/>
        <v>-</v>
      </c>
      <c r="EI12" s="110" t="str">
        <f t="shared" si="107"/>
        <v>-</v>
      </c>
      <c r="EJ12" s="110" t="str">
        <f t="shared" si="108"/>
        <v>-</v>
      </c>
      <c r="EK12" s="110" t="str">
        <f t="shared" si="109"/>
        <v>-</v>
      </c>
      <c r="EL12" s="110" t="str">
        <f t="shared" si="110"/>
        <v>-</v>
      </c>
      <c r="EM12" s="110" t="str">
        <f t="shared" si="111"/>
        <v>-</v>
      </c>
      <c r="EN12" s="110" t="str">
        <f t="shared" si="112"/>
        <v>-</v>
      </c>
      <c r="EO12" s="111" t="str">
        <f t="shared" si="113"/>
        <v>-</v>
      </c>
      <c r="EQ12" s="118">
        <f t="shared" si="114"/>
        <v>55.97</v>
      </c>
      <c r="ER12" s="119" t="str">
        <f t="shared" si="115"/>
        <v>-</v>
      </c>
      <c r="ES12" s="120" t="str">
        <f t="shared" si="116"/>
        <v>-</v>
      </c>
      <c r="ET12" s="90">
        <v>2</v>
      </c>
      <c r="EU12" s="118">
        <f t="shared" si="117"/>
        <v>2</v>
      </c>
      <c r="EV12" s="119" t="str">
        <f t="shared" si="118"/>
        <v>-</v>
      </c>
      <c r="EW12" s="120" t="str">
        <f t="shared" si="119"/>
        <v>-</v>
      </c>
    </row>
    <row r="13" spans="1:153" ht="15.75" thickBot="1" x14ac:dyDescent="0.3">
      <c r="A13" s="41"/>
      <c r="B13" s="171" t="s">
        <v>447</v>
      </c>
      <c r="C13" s="171" t="s">
        <v>449</v>
      </c>
      <c r="D13" s="42">
        <f>VLOOKUP(B13,'BASE DE DATOS'!$B$3:$E$106,2,FALSE)</f>
        <v>38.19</v>
      </c>
      <c r="E13" s="42">
        <f>VLOOKUP(B13,'BASE DE DATOS'!$B$3:$E$106,4,FALSE)</f>
        <v>1.8399999999999963</v>
      </c>
      <c r="F13" s="42">
        <f>VLOOKUP(C13,'BASE DE DATOS'!$B$3:$E$106,2,FALSE)</f>
        <v>38.01</v>
      </c>
      <c r="G13" s="42">
        <f>VLOOKUP(C13,'BASE DE DATOS'!$B$3:$E$106,4,FALSE)</f>
        <v>2.1499999999999986</v>
      </c>
      <c r="H13" s="43">
        <f t="shared" si="120"/>
        <v>1.9949999999999974</v>
      </c>
      <c r="I13" s="171">
        <v>50.17</v>
      </c>
      <c r="J13" s="44">
        <f t="shared" si="121"/>
        <v>50.17</v>
      </c>
      <c r="K13" s="40">
        <f t="shared" si="122"/>
        <v>48.57</v>
      </c>
      <c r="L13" s="40">
        <f t="shared" si="123"/>
        <v>48.97</v>
      </c>
      <c r="M13" s="44">
        <f t="shared" si="124"/>
        <v>200</v>
      </c>
      <c r="N13" s="40">
        <f t="shared" si="125"/>
        <v>50.17</v>
      </c>
      <c r="O13" s="171" t="s">
        <v>120</v>
      </c>
      <c r="P13" s="19">
        <v>187.6</v>
      </c>
      <c r="Q13" s="171" t="s">
        <v>122</v>
      </c>
      <c r="R13" s="171" t="s">
        <v>133</v>
      </c>
      <c r="S13" s="171" t="s">
        <v>147</v>
      </c>
      <c r="T13" s="171" t="s">
        <v>146</v>
      </c>
      <c r="V13" s="51" t="str">
        <f t="shared" si="0"/>
        <v>-</v>
      </c>
      <c r="W13" s="52" t="str">
        <f t="shared" si="1"/>
        <v>-</v>
      </c>
      <c r="X13" s="52" t="str">
        <f t="shared" si="2"/>
        <v>-</v>
      </c>
      <c r="Y13" s="52" t="str">
        <f t="shared" si="3"/>
        <v>-</v>
      </c>
      <c r="Z13" s="52" t="str">
        <f t="shared" si="4"/>
        <v>-</v>
      </c>
      <c r="AA13" s="52" t="str">
        <f t="shared" si="5"/>
        <v>-</v>
      </c>
      <c r="AB13" s="52">
        <f t="shared" si="6"/>
        <v>48.57</v>
      </c>
      <c r="AC13" s="52" t="str">
        <f t="shared" si="7"/>
        <v>-</v>
      </c>
      <c r="AD13" s="52" t="str">
        <f t="shared" si="8"/>
        <v>-</v>
      </c>
      <c r="AE13" s="52" t="str">
        <f t="shared" si="9"/>
        <v>-</v>
      </c>
      <c r="AF13" s="52" t="str">
        <f t="shared" si="10"/>
        <v>-</v>
      </c>
      <c r="AG13" s="52" t="str">
        <f t="shared" si="11"/>
        <v>-</v>
      </c>
      <c r="AH13" s="52" t="str">
        <f t="shared" si="12"/>
        <v>-</v>
      </c>
      <c r="AI13" s="52" t="str">
        <f t="shared" si="13"/>
        <v>-</v>
      </c>
      <c r="AJ13" s="52" t="str">
        <f t="shared" si="14"/>
        <v>-</v>
      </c>
      <c r="AK13" s="52" t="str">
        <f t="shared" si="15"/>
        <v>-</v>
      </c>
      <c r="AL13" s="52" t="str">
        <f t="shared" si="16"/>
        <v>-</v>
      </c>
      <c r="AM13" s="53" t="str">
        <f t="shared" si="17"/>
        <v>-</v>
      </c>
      <c r="AN13" s="51" t="str">
        <f t="shared" si="18"/>
        <v>-</v>
      </c>
      <c r="AO13" s="52" t="str">
        <f t="shared" si="19"/>
        <v>-</v>
      </c>
      <c r="AP13" s="52" t="str">
        <f t="shared" si="20"/>
        <v>-</v>
      </c>
      <c r="AQ13" s="52" t="str">
        <f t="shared" si="21"/>
        <v>-</v>
      </c>
      <c r="AR13" s="52" t="str">
        <f t="shared" si="22"/>
        <v>-</v>
      </c>
      <c r="AS13" s="52" t="str">
        <f t="shared" si="23"/>
        <v>-</v>
      </c>
      <c r="AT13" s="52" t="str">
        <f t="shared" si="24"/>
        <v>-</v>
      </c>
      <c r="AU13" s="52" t="str">
        <f t="shared" si="25"/>
        <v>-</v>
      </c>
      <c r="AV13" s="52" t="str">
        <f t="shared" si="26"/>
        <v>-</v>
      </c>
      <c r="AW13" s="52" t="str">
        <f t="shared" si="27"/>
        <v>-</v>
      </c>
      <c r="AX13" s="52" t="str">
        <f t="shared" si="28"/>
        <v>-</v>
      </c>
      <c r="AY13" s="52" t="str">
        <f t="shared" si="29"/>
        <v>-</v>
      </c>
      <c r="AZ13" s="52" t="str">
        <f t="shared" si="30"/>
        <v>-</v>
      </c>
      <c r="BA13" s="52" t="str">
        <f t="shared" si="31"/>
        <v>-</v>
      </c>
      <c r="BB13" s="52" t="str">
        <f t="shared" si="32"/>
        <v>-</v>
      </c>
      <c r="BC13" s="52" t="str">
        <f t="shared" si="33"/>
        <v>-</v>
      </c>
      <c r="BD13" s="52" t="str">
        <f t="shared" si="34"/>
        <v>-</v>
      </c>
      <c r="BE13" s="53" t="str">
        <f t="shared" si="35"/>
        <v>-</v>
      </c>
      <c r="BF13" s="51" t="str">
        <f t="shared" si="36"/>
        <v>-</v>
      </c>
      <c r="BG13" s="52" t="str">
        <f t="shared" si="37"/>
        <v>-</v>
      </c>
      <c r="BH13" s="52" t="str">
        <f t="shared" si="38"/>
        <v>-</v>
      </c>
      <c r="BI13" s="52" t="str">
        <f t="shared" si="39"/>
        <v>-</v>
      </c>
      <c r="BJ13" s="52" t="str">
        <f t="shared" si="40"/>
        <v>-</v>
      </c>
      <c r="BK13" s="52" t="str">
        <f t="shared" si="41"/>
        <v>-</v>
      </c>
      <c r="BL13" s="52" t="str">
        <f t="shared" si="42"/>
        <v>-</v>
      </c>
      <c r="BM13" s="52" t="str">
        <f t="shared" si="43"/>
        <v>-</v>
      </c>
      <c r="BN13" s="52" t="str">
        <f t="shared" si="44"/>
        <v>-</v>
      </c>
      <c r="BO13" s="52" t="str">
        <f t="shared" si="45"/>
        <v>-</v>
      </c>
      <c r="BP13" s="52" t="str">
        <f t="shared" si="46"/>
        <v>-</v>
      </c>
      <c r="BQ13" s="52" t="str">
        <f t="shared" si="47"/>
        <v>-</v>
      </c>
      <c r="BR13" s="52" t="str">
        <f t="shared" si="48"/>
        <v>-</v>
      </c>
      <c r="BS13" s="52" t="str">
        <f t="shared" si="49"/>
        <v>-</v>
      </c>
      <c r="BT13" s="52" t="str">
        <f t="shared" si="50"/>
        <v>-</v>
      </c>
      <c r="BU13" s="52" t="str">
        <f t="shared" si="51"/>
        <v>-</v>
      </c>
      <c r="BV13" s="52" t="str">
        <f t="shared" si="52"/>
        <v>-</v>
      </c>
      <c r="BW13" s="53" t="str">
        <f t="shared" si="53"/>
        <v>-</v>
      </c>
      <c r="BX13" s="51" t="str">
        <f t="shared" si="54"/>
        <v>-</v>
      </c>
      <c r="BY13" s="52" t="str">
        <f t="shared" si="55"/>
        <v>-</v>
      </c>
      <c r="BZ13" s="52" t="str">
        <f t="shared" si="56"/>
        <v>-</v>
      </c>
      <c r="CA13" s="52" t="str">
        <f t="shared" si="57"/>
        <v>-</v>
      </c>
      <c r="CB13" s="52" t="str">
        <f t="shared" si="58"/>
        <v>-</v>
      </c>
      <c r="CC13" s="52" t="str">
        <f t="shared" si="59"/>
        <v>-</v>
      </c>
      <c r="CD13" s="52" t="str">
        <f t="shared" si="60"/>
        <v>-</v>
      </c>
      <c r="CE13" s="52" t="str">
        <f t="shared" si="61"/>
        <v>-</v>
      </c>
      <c r="CF13" s="52" t="str">
        <f t="shared" si="62"/>
        <v>-</v>
      </c>
      <c r="CG13" s="52" t="str">
        <f t="shared" si="63"/>
        <v>-</v>
      </c>
      <c r="CH13" s="52" t="str">
        <f t="shared" si="64"/>
        <v>-</v>
      </c>
      <c r="CI13" s="52" t="str">
        <f t="shared" si="65"/>
        <v>-</v>
      </c>
      <c r="CJ13" s="52" t="str">
        <f t="shared" si="66"/>
        <v>-</v>
      </c>
      <c r="CK13" s="52" t="str">
        <f t="shared" si="67"/>
        <v>-</v>
      </c>
      <c r="CL13" s="52" t="str">
        <f t="shared" si="68"/>
        <v>-</v>
      </c>
      <c r="CM13" s="52" t="str">
        <f t="shared" si="69"/>
        <v>-</v>
      </c>
      <c r="CN13" s="52" t="str">
        <f t="shared" si="70"/>
        <v>-</v>
      </c>
      <c r="CO13" s="53" t="str">
        <f t="shared" si="71"/>
        <v>-</v>
      </c>
      <c r="CQ13" s="305" t="str">
        <f t="shared" si="126"/>
        <v>-</v>
      </c>
      <c r="CR13" s="305">
        <f t="shared" si="127"/>
        <v>50.17</v>
      </c>
      <c r="CS13" s="305" t="str">
        <f t="shared" si="128"/>
        <v>-</v>
      </c>
      <c r="CT13" s="305" t="str">
        <f t="shared" si="129"/>
        <v>-</v>
      </c>
      <c r="CU13" s="305" t="str">
        <f t="shared" si="130"/>
        <v>-</v>
      </c>
      <c r="CV13" s="305" t="str">
        <f t="shared" si="131"/>
        <v>-</v>
      </c>
      <c r="CX13" s="51">
        <f t="shared" si="72"/>
        <v>48.97</v>
      </c>
      <c r="CY13" s="52" t="str">
        <f t="shared" si="73"/>
        <v>-</v>
      </c>
      <c r="CZ13" s="53" t="str">
        <f t="shared" si="74"/>
        <v>-</v>
      </c>
      <c r="DA13" s="51" t="str">
        <f t="shared" si="75"/>
        <v>-</v>
      </c>
      <c r="DB13" s="52" t="str">
        <f t="shared" si="76"/>
        <v>-</v>
      </c>
      <c r="DC13" s="53" t="str">
        <f t="shared" si="77"/>
        <v>-</v>
      </c>
      <c r="DD13" s="57"/>
      <c r="DE13" s="106" t="str">
        <f t="shared" si="78"/>
        <v>-</v>
      </c>
      <c r="DF13" s="107" t="str">
        <f t="shared" si="79"/>
        <v>-</v>
      </c>
      <c r="DG13" s="107" t="str">
        <f t="shared" si="80"/>
        <v>-</v>
      </c>
      <c r="DH13" s="107">
        <f t="shared" si="81"/>
        <v>48.97</v>
      </c>
      <c r="DI13" s="107" t="str">
        <f t="shared" si="82"/>
        <v>-</v>
      </c>
      <c r="DJ13" s="107" t="str">
        <f t="shared" si="83"/>
        <v>-</v>
      </c>
      <c r="DK13" s="107" t="str">
        <f t="shared" si="84"/>
        <v>-</v>
      </c>
      <c r="DL13" s="107" t="str">
        <f t="shared" si="85"/>
        <v>-</v>
      </c>
      <c r="DM13" s="108" t="str">
        <f t="shared" si="86"/>
        <v>-</v>
      </c>
      <c r="DO13" s="106" t="str">
        <f t="shared" si="87"/>
        <v>-</v>
      </c>
      <c r="DP13" s="107" t="str">
        <f t="shared" si="88"/>
        <v>-</v>
      </c>
      <c r="DQ13" s="107" t="str">
        <f t="shared" si="89"/>
        <v>-</v>
      </c>
      <c r="DR13" s="107">
        <f t="shared" si="90"/>
        <v>48.97</v>
      </c>
      <c r="DS13" s="107" t="str">
        <f t="shared" si="91"/>
        <v>-</v>
      </c>
      <c r="DT13" s="107" t="str">
        <f t="shared" si="92"/>
        <v>-</v>
      </c>
      <c r="DU13" s="107" t="str">
        <f t="shared" si="93"/>
        <v>-</v>
      </c>
      <c r="DV13" s="107" t="str">
        <f t="shared" si="94"/>
        <v>-</v>
      </c>
      <c r="DW13" s="108" t="str">
        <f t="shared" si="95"/>
        <v>-</v>
      </c>
      <c r="DX13" s="109" t="str">
        <f t="shared" si="96"/>
        <v>-</v>
      </c>
      <c r="DY13" s="110" t="str">
        <f t="shared" si="97"/>
        <v>-</v>
      </c>
      <c r="DZ13" s="110" t="str">
        <f t="shared" si="98"/>
        <v>-</v>
      </c>
      <c r="EA13" s="110" t="str">
        <f t="shared" si="99"/>
        <v>-</v>
      </c>
      <c r="EB13" s="110" t="str">
        <f t="shared" si="100"/>
        <v>-</v>
      </c>
      <c r="EC13" s="110" t="str">
        <f t="shared" si="101"/>
        <v>-</v>
      </c>
      <c r="ED13" s="110" t="str">
        <f t="shared" si="102"/>
        <v>-</v>
      </c>
      <c r="EE13" s="110" t="str">
        <f t="shared" si="103"/>
        <v>-</v>
      </c>
      <c r="EF13" s="111" t="str">
        <f t="shared" si="104"/>
        <v>-</v>
      </c>
      <c r="EG13" s="109" t="str">
        <f t="shared" si="105"/>
        <v>-</v>
      </c>
      <c r="EH13" s="110" t="str">
        <f t="shared" si="106"/>
        <v>-</v>
      </c>
      <c r="EI13" s="110" t="str">
        <f t="shared" si="107"/>
        <v>-</v>
      </c>
      <c r="EJ13" s="110" t="str">
        <f t="shared" si="108"/>
        <v>-</v>
      </c>
      <c r="EK13" s="110" t="str">
        <f t="shared" si="109"/>
        <v>-</v>
      </c>
      <c r="EL13" s="110" t="str">
        <f t="shared" si="110"/>
        <v>-</v>
      </c>
      <c r="EM13" s="110" t="str">
        <f t="shared" si="111"/>
        <v>-</v>
      </c>
      <c r="EN13" s="110" t="str">
        <f t="shared" si="112"/>
        <v>-</v>
      </c>
      <c r="EO13" s="111" t="str">
        <f t="shared" si="113"/>
        <v>-</v>
      </c>
      <c r="EQ13" s="118">
        <f t="shared" si="114"/>
        <v>48.97</v>
      </c>
      <c r="ER13" s="119" t="str">
        <f t="shared" si="115"/>
        <v>-</v>
      </c>
      <c r="ES13" s="120" t="str">
        <f t="shared" si="116"/>
        <v>-</v>
      </c>
      <c r="ET13" s="90">
        <v>2</v>
      </c>
      <c r="EU13" s="118">
        <f t="shared" si="117"/>
        <v>2</v>
      </c>
      <c r="EV13" s="119" t="str">
        <f t="shared" si="118"/>
        <v>-</v>
      </c>
      <c r="EW13" s="120" t="str">
        <f t="shared" si="119"/>
        <v>-</v>
      </c>
    </row>
    <row r="14" spans="1:153" ht="15.75" thickBot="1" x14ac:dyDescent="0.3">
      <c r="A14" s="41"/>
      <c r="B14" s="171" t="s">
        <v>448</v>
      </c>
      <c r="C14" s="171" t="s">
        <v>449</v>
      </c>
      <c r="D14" s="42">
        <f>VLOOKUP(B14,'BASE DE DATOS'!$B$3:$E$106,2,FALSE)</f>
        <v>38.21</v>
      </c>
      <c r="E14" s="42">
        <f>VLOOKUP(B14,'BASE DE DATOS'!$B$3:$E$106,4,FALSE)</f>
        <v>1.7000000000000028</v>
      </c>
      <c r="F14" s="42">
        <f>VLOOKUP(C14,'BASE DE DATOS'!$B$3:$E$106,2,FALSE)</f>
        <v>38.01</v>
      </c>
      <c r="G14" s="42">
        <f>VLOOKUP(C14,'BASE DE DATOS'!$B$3:$E$106,4,FALSE)</f>
        <v>2.1499999999999986</v>
      </c>
      <c r="H14" s="43">
        <f t="shared" si="120"/>
        <v>1.9250000000000007</v>
      </c>
      <c r="I14" s="171">
        <v>68.36</v>
      </c>
      <c r="J14" s="44">
        <f t="shared" si="121"/>
        <v>68.36</v>
      </c>
      <c r="K14" s="40">
        <f t="shared" si="122"/>
        <v>66.760000000000005</v>
      </c>
      <c r="L14" s="40">
        <f t="shared" si="123"/>
        <v>67.16</v>
      </c>
      <c r="M14" s="44">
        <f t="shared" si="124"/>
        <v>200</v>
      </c>
      <c r="N14" s="40">
        <f t="shared" si="125"/>
        <v>68.36</v>
      </c>
      <c r="O14" s="171" t="s">
        <v>120</v>
      </c>
      <c r="P14" s="19">
        <v>187.6</v>
      </c>
      <c r="Q14" s="171" t="s">
        <v>123</v>
      </c>
      <c r="R14" s="171" t="s">
        <v>133</v>
      </c>
      <c r="S14" s="171" t="s">
        <v>147</v>
      </c>
      <c r="T14" s="171" t="s">
        <v>146</v>
      </c>
      <c r="V14" s="51" t="str">
        <f t="shared" si="0"/>
        <v>-</v>
      </c>
      <c r="W14" s="52" t="str">
        <f t="shared" si="1"/>
        <v>-</v>
      </c>
      <c r="X14" s="52" t="str">
        <f t="shared" si="2"/>
        <v>-</v>
      </c>
      <c r="Y14" s="52" t="str">
        <f t="shared" si="3"/>
        <v>-</v>
      </c>
      <c r="Z14" s="52" t="str">
        <f t="shared" si="4"/>
        <v>-</v>
      </c>
      <c r="AA14" s="52" t="str">
        <f t="shared" si="5"/>
        <v>-</v>
      </c>
      <c r="AB14" s="52" t="str">
        <f t="shared" si="6"/>
        <v>-</v>
      </c>
      <c r="AC14" s="52">
        <f t="shared" si="7"/>
        <v>66.760000000000005</v>
      </c>
      <c r="AD14" s="52" t="str">
        <f t="shared" si="8"/>
        <v>-</v>
      </c>
      <c r="AE14" s="52" t="str">
        <f t="shared" si="9"/>
        <v>-</v>
      </c>
      <c r="AF14" s="52" t="str">
        <f t="shared" si="10"/>
        <v>-</v>
      </c>
      <c r="AG14" s="52" t="str">
        <f t="shared" si="11"/>
        <v>-</v>
      </c>
      <c r="AH14" s="52" t="str">
        <f t="shared" si="12"/>
        <v>-</v>
      </c>
      <c r="AI14" s="52" t="str">
        <f t="shared" si="13"/>
        <v>-</v>
      </c>
      <c r="AJ14" s="52" t="str">
        <f t="shared" si="14"/>
        <v>-</v>
      </c>
      <c r="AK14" s="52" t="str">
        <f t="shared" si="15"/>
        <v>-</v>
      </c>
      <c r="AL14" s="52" t="str">
        <f t="shared" si="16"/>
        <v>-</v>
      </c>
      <c r="AM14" s="53" t="str">
        <f t="shared" si="17"/>
        <v>-</v>
      </c>
      <c r="AN14" s="51" t="str">
        <f t="shared" si="18"/>
        <v>-</v>
      </c>
      <c r="AO14" s="52" t="str">
        <f t="shared" si="19"/>
        <v>-</v>
      </c>
      <c r="AP14" s="52" t="str">
        <f t="shared" si="20"/>
        <v>-</v>
      </c>
      <c r="AQ14" s="52" t="str">
        <f t="shared" si="21"/>
        <v>-</v>
      </c>
      <c r="AR14" s="52" t="str">
        <f t="shared" si="22"/>
        <v>-</v>
      </c>
      <c r="AS14" s="52" t="str">
        <f t="shared" si="23"/>
        <v>-</v>
      </c>
      <c r="AT14" s="52" t="str">
        <f t="shared" si="24"/>
        <v>-</v>
      </c>
      <c r="AU14" s="52" t="str">
        <f t="shared" si="25"/>
        <v>-</v>
      </c>
      <c r="AV14" s="52" t="str">
        <f t="shared" si="26"/>
        <v>-</v>
      </c>
      <c r="AW14" s="52" t="str">
        <f t="shared" si="27"/>
        <v>-</v>
      </c>
      <c r="AX14" s="52" t="str">
        <f t="shared" si="28"/>
        <v>-</v>
      </c>
      <c r="AY14" s="52" t="str">
        <f t="shared" si="29"/>
        <v>-</v>
      </c>
      <c r="AZ14" s="52" t="str">
        <f t="shared" si="30"/>
        <v>-</v>
      </c>
      <c r="BA14" s="52" t="str">
        <f t="shared" si="31"/>
        <v>-</v>
      </c>
      <c r="BB14" s="52" t="str">
        <f t="shared" si="32"/>
        <v>-</v>
      </c>
      <c r="BC14" s="52" t="str">
        <f t="shared" si="33"/>
        <v>-</v>
      </c>
      <c r="BD14" s="52" t="str">
        <f t="shared" si="34"/>
        <v>-</v>
      </c>
      <c r="BE14" s="53" t="str">
        <f t="shared" si="35"/>
        <v>-</v>
      </c>
      <c r="BF14" s="51" t="str">
        <f t="shared" si="36"/>
        <v>-</v>
      </c>
      <c r="BG14" s="52" t="str">
        <f t="shared" si="37"/>
        <v>-</v>
      </c>
      <c r="BH14" s="52" t="str">
        <f t="shared" si="38"/>
        <v>-</v>
      </c>
      <c r="BI14" s="52" t="str">
        <f t="shared" si="39"/>
        <v>-</v>
      </c>
      <c r="BJ14" s="52" t="str">
        <f t="shared" si="40"/>
        <v>-</v>
      </c>
      <c r="BK14" s="52" t="str">
        <f t="shared" si="41"/>
        <v>-</v>
      </c>
      <c r="BL14" s="52" t="str">
        <f t="shared" si="42"/>
        <v>-</v>
      </c>
      <c r="BM14" s="52" t="str">
        <f t="shared" si="43"/>
        <v>-</v>
      </c>
      <c r="BN14" s="52" t="str">
        <f t="shared" si="44"/>
        <v>-</v>
      </c>
      <c r="BO14" s="52" t="str">
        <f t="shared" si="45"/>
        <v>-</v>
      </c>
      <c r="BP14" s="52" t="str">
        <f t="shared" si="46"/>
        <v>-</v>
      </c>
      <c r="BQ14" s="52" t="str">
        <f t="shared" si="47"/>
        <v>-</v>
      </c>
      <c r="BR14" s="52" t="str">
        <f t="shared" si="48"/>
        <v>-</v>
      </c>
      <c r="BS14" s="52" t="str">
        <f t="shared" si="49"/>
        <v>-</v>
      </c>
      <c r="BT14" s="52" t="str">
        <f t="shared" si="50"/>
        <v>-</v>
      </c>
      <c r="BU14" s="52" t="str">
        <f t="shared" si="51"/>
        <v>-</v>
      </c>
      <c r="BV14" s="52" t="str">
        <f t="shared" si="52"/>
        <v>-</v>
      </c>
      <c r="BW14" s="53" t="str">
        <f t="shared" si="53"/>
        <v>-</v>
      </c>
      <c r="BX14" s="51" t="str">
        <f t="shared" si="54"/>
        <v>-</v>
      </c>
      <c r="BY14" s="52" t="str">
        <f t="shared" si="55"/>
        <v>-</v>
      </c>
      <c r="BZ14" s="52" t="str">
        <f t="shared" si="56"/>
        <v>-</v>
      </c>
      <c r="CA14" s="52" t="str">
        <f t="shared" si="57"/>
        <v>-</v>
      </c>
      <c r="CB14" s="52" t="str">
        <f t="shared" si="58"/>
        <v>-</v>
      </c>
      <c r="CC14" s="52" t="str">
        <f t="shared" si="59"/>
        <v>-</v>
      </c>
      <c r="CD14" s="52" t="str">
        <f t="shared" si="60"/>
        <v>-</v>
      </c>
      <c r="CE14" s="52" t="str">
        <f t="shared" si="61"/>
        <v>-</v>
      </c>
      <c r="CF14" s="52" t="str">
        <f t="shared" si="62"/>
        <v>-</v>
      </c>
      <c r="CG14" s="52" t="str">
        <f t="shared" si="63"/>
        <v>-</v>
      </c>
      <c r="CH14" s="52" t="str">
        <f t="shared" si="64"/>
        <v>-</v>
      </c>
      <c r="CI14" s="52" t="str">
        <f t="shared" si="65"/>
        <v>-</v>
      </c>
      <c r="CJ14" s="52" t="str">
        <f t="shared" si="66"/>
        <v>-</v>
      </c>
      <c r="CK14" s="52" t="str">
        <f t="shared" si="67"/>
        <v>-</v>
      </c>
      <c r="CL14" s="52" t="str">
        <f t="shared" si="68"/>
        <v>-</v>
      </c>
      <c r="CM14" s="52" t="str">
        <f t="shared" si="69"/>
        <v>-</v>
      </c>
      <c r="CN14" s="52" t="str">
        <f t="shared" si="70"/>
        <v>-</v>
      </c>
      <c r="CO14" s="53" t="str">
        <f t="shared" si="71"/>
        <v>-</v>
      </c>
      <c r="CQ14" s="305" t="str">
        <f t="shared" si="126"/>
        <v>-</v>
      </c>
      <c r="CR14" s="305">
        <f t="shared" si="127"/>
        <v>68.36</v>
      </c>
      <c r="CS14" s="305" t="str">
        <f t="shared" si="128"/>
        <v>-</v>
      </c>
      <c r="CT14" s="305" t="str">
        <f t="shared" si="129"/>
        <v>-</v>
      </c>
      <c r="CU14" s="305" t="str">
        <f t="shared" si="130"/>
        <v>-</v>
      </c>
      <c r="CV14" s="305" t="str">
        <f t="shared" si="131"/>
        <v>-</v>
      </c>
      <c r="CX14" s="51" t="str">
        <f t="shared" si="72"/>
        <v>-</v>
      </c>
      <c r="CY14" s="52">
        <f t="shared" si="73"/>
        <v>67.16</v>
      </c>
      <c r="CZ14" s="53" t="str">
        <f t="shared" si="74"/>
        <v>-</v>
      </c>
      <c r="DA14" s="51" t="str">
        <f t="shared" si="75"/>
        <v>-</v>
      </c>
      <c r="DB14" s="52" t="str">
        <f t="shared" si="76"/>
        <v>-</v>
      </c>
      <c r="DC14" s="53" t="str">
        <f t="shared" si="77"/>
        <v>-</v>
      </c>
      <c r="DD14" s="57"/>
      <c r="DE14" s="106" t="str">
        <f t="shared" si="78"/>
        <v>-</v>
      </c>
      <c r="DF14" s="107" t="str">
        <f t="shared" si="79"/>
        <v>-</v>
      </c>
      <c r="DG14" s="107" t="str">
        <f t="shared" si="80"/>
        <v>-</v>
      </c>
      <c r="DH14" s="107" t="str">
        <f t="shared" si="81"/>
        <v>-</v>
      </c>
      <c r="DI14" s="107" t="str">
        <f t="shared" si="82"/>
        <v>-</v>
      </c>
      <c r="DJ14" s="107" t="str">
        <f t="shared" si="83"/>
        <v>-</v>
      </c>
      <c r="DK14" s="107" t="str">
        <f t="shared" si="84"/>
        <v>-</v>
      </c>
      <c r="DL14" s="107" t="str">
        <f t="shared" si="85"/>
        <v>-</v>
      </c>
      <c r="DM14" s="108" t="str">
        <f t="shared" si="86"/>
        <v>-</v>
      </c>
      <c r="DO14" s="106" t="str">
        <f t="shared" si="87"/>
        <v>-</v>
      </c>
      <c r="DP14" s="107" t="str">
        <f t="shared" si="88"/>
        <v>-</v>
      </c>
      <c r="DQ14" s="107" t="str">
        <f t="shared" si="89"/>
        <v>-</v>
      </c>
      <c r="DR14" s="107" t="str">
        <f t="shared" si="90"/>
        <v>-</v>
      </c>
      <c r="DS14" s="107" t="str">
        <f t="shared" si="91"/>
        <v>-</v>
      </c>
      <c r="DT14" s="107" t="str">
        <f t="shared" si="92"/>
        <v>-</v>
      </c>
      <c r="DU14" s="107" t="str">
        <f t="shared" si="93"/>
        <v>-</v>
      </c>
      <c r="DV14" s="107" t="str">
        <f t="shared" si="94"/>
        <v>-</v>
      </c>
      <c r="DW14" s="108" t="str">
        <f t="shared" si="95"/>
        <v>-</v>
      </c>
      <c r="DX14" s="109" t="str">
        <f t="shared" si="96"/>
        <v>-</v>
      </c>
      <c r="DY14" s="110" t="str">
        <f t="shared" si="97"/>
        <v>-</v>
      </c>
      <c r="DZ14" s="110" t="str">
        <f t="shared" si="98"/>
        <v>-</v>
      </c>
      <c r="EA14" s="110">
        <f t="shared" si="99"/>
        <v>68.36</v>
      </c>
      <c r="EB14" s="110" t="str">
        <f t="shared" si="100"/>
        <v>-</v>
      </c>
      <c r="EC14" s="110" t="str">
        <f t="shared" si="101"/>
        <v>-</v>
      </c>
      <c r="ED14" s="110" t="str">
        <f t="shared" si="102"/>
        <v>-</v>
      </c>
      <c r="EE14" s="110" t="str">
        <f t="shared" si="103"/>
        <v>-</v>
      </c>
      <c r="EF14" s="111" t="str">
        <f t="shared" si="104"/>
        <v>-</v>
      </c>
      <c r="EG14" s="109" t="str">
        <f t="shared" si="105"/>
        <v>-</v>
      </c>
      <c r="EH14" s="110" t="str">
        <f t="shared" si="106"/>
        <v>-</v>
      </c>
      <c r="EI14" s="110" t="str">
        <f t="shared" si="107"/>
        <v>-</v>
      </c>
      <c r="EJ14" s="110" t="str">
        <f t="shared" si="108"/>
        <v>-</v>
      </c>
      <c r="EK14" s="110" t="str">
        <f t="shared" si="109"/>
        <v>-</v>
      </c>
      <c r="EL14" s="110" t="str">
        <f t="shared" si="110"/>
        <v>-</v>
      </c>
      <c r="EM14" s="110" t="str">
        <f t="shared" si="111"/>
        <v>-</v>
      </c>
      <c r="EN14" s="110" t="str">
        <f t="shared" si="112"/>
        <v>-</v>
      </c>
      <c r="EO14" s="111" t="str">
        <f t="shared" si="113"/>
        <v>-</v>
      </c>
      <c r="EQ14" s="118">
        <f t="shared" si="114"/>
        <v>67.16</v>
      </c>
      <c r="ER14" s="119" t="str">
        <f t="shared" si="115"/>
        <v>-</v>
      </c>
      <c r="ES14" s="120" t="str">
        <f t="shared" si="116"/>
        <v>-</v>
      </c>
      <c r="ET14" s="90">
        <v>2</v>
      </c>
      <c r="EU14" s="118">
        <f t="shared" si="117"/>
        <v>2</v>
      </c>
      <c r="EV14" s="119" t="str">
        <f t="shared" si="118"/>
        <v>-</v>
      </c>
      <c r="EW14" s="120" t="str">
        <f t="shared" si="119"/>
        <v>-</v>
      </c>
    </row>
    <row r="15" spans="1:153" ht="15.75" thickBot="1" x14ac:dyDescent="0.3">
      <c r="A15" s="41"/>
      <c r="B15" s="171" t="s">
        <v>449</v>
      </c>
      <c r="C15" s="171" t="s">
        <v>450</v>
      </c>
      <c r="D15" s="42">
        <f>VLOOKUP(B15,'BASE DE DATOS'!$B$3:$E$106,2,FALSE)</f>
        <v>38.01</v>
      </c>
      <c r="E15" s="42">
        <f>VLOOKUP(B15,'BASE DE DATOS'!$B$3:$E$106,4,FALSE)</f>
        <v>2.1499999999999986</v>
      </c>
      <c r="F15" s="42">
        <f>VLOOKUP(C15,'BASE DE DATOS'!$B$3:$E$106,2,FALSE)</f>
        <v>36.85</v>
      </c>
      <c r="G15" s="42">
        <f>VLOOKUP(C15,'BASE DE DATOS'!$B$3:$E$106,4,FALSE)</f>
        <v>1.7199999999999989</v>
      </c>
      <c r="H15" s="43">
        <f t="shared" si="120"/>
        <v>1.9349999999999987</v>
      </c>
      <c r="I15" s="171">
        <v>68.459999999999994</v>
      </c>
      <c r="J15" s="44">
        <f t="shared" si="121"/>
        <v>68.459999999999994</v>
      </c>
      <c r="K15" s="40">
        <f t="shared" si="122"/>
        <v>66.86</v>
      </c>
      <c r="L15" s="40">
        <f t="shared" si="123"/>
        <v>67.260000000000005</v>
      </c>
      <c r="M15" s="44">
        <f t="shared" si="124"/>
        <v>200</v>
      </c>
      <c r="N15" s="40">
        <f t="shared" si="125"/>
        <v>68.47</v>
      </c>
      <c r="O15" s="171" t="s">
        <v>120</v>
      </c>
      <c r="P15" s="19">
        <v>187.6</v>
      </c>
      <c r="Q15" s="171" t="s">
        <v>122</v>
      </c>
      <c r="R15" s="171" t="s">
        <v>133</v>
      </c>
      <c r="S15" s="171" t="s">
        <v>147</v>
      </c>
      <c r="T15" s="171" t="s">
        <v>146</v>
      </c>
      <c r="V15" s="51" t="str">
        <f t="shared" si="0"/>
        <v>-</v>
      </c>
      <c r="W15" s="52" t="str">
        <f t="shared" si="1"/>
        <v>-</v>
      </c>
      <c r="X15" s="52" t="str">
        <f t="shared" si="2"/>
        <v>-</v>
      </c>
      <c r="Y15" s="52" t="str">
        <f t="shared" si="3"/>
        <v>-</v>
      </c>
      <c r="Z15" s="52" t="str">
        <f t="shared" si="4"/>
        <v>-</v>
      </c>
      <c r="AA15" s="52" t="str">
        <f t="shared" si="5"/>
        <v>-</v>
      </c>
      <c r="AB15" s="52">
        <f t="shared" si="6"/>
        <v>66.86</v>
      </c>
      <c r="AC15" s="52" t="str">
        <f t="shared" si="7"/>
        <v>-</v>
      </c>
      <c r="AD15" s="52" t="str">
        <f t="shared" si="8"/>
        <v>-</v>
      </c>
      <c r="AE15" s="52" t="str">
        <f t="shared" si="9"/>
        <v>-</v>
      </c>
      <c r="AF15" s="52" t="str">
        <f t="shared" si="10"/>
        <v>-</v>
      </c>
      <c r="AG15" s="52" t="str">
        <f t="shared" si="11"/>
        <v>-</v>
      </c>
      <c r="AH15" s="52" t="str">
        <f t="shared" si="12"/>
        <v>-</v>
      </c>
      <c r="AI15" s="52" t="str">
        <f t="shared" si="13"/>
        <v>-</v>
      </c>
      <c r="AJ15" s="52" t="str">
        <f t="shared" si="14"/>
        <v>-</v>
      </c>
      <c r="AK15" s="52" t="str">
        <f t="shared" si="15"/>
        <v>-</v>
      </c>
      <c r="AL15" s="52" t="str">
        <f t="shared" si="16"/>
        <v>-</v>
      </c>
      <c r="AM15" s="53" t="str">
        <f t="shared" si="17"/>
        <v>-</v>
      </c>
      <c r="AN15" s="51" t="str">
        <f t="shared" si="18"/>
        <v>-</v>
      </c>
      <c r="AO15" s="52" t="str">
        <f t="shared" si="19"/>
        <v>-</v>
      </c>
      <c r="AP15" s="52" t="str">
        <f t="shared" si="20"/>
        <v>-</v>
      </c>
      <c r="AQ15" s="52" t="str">
        <f t="shared" si="21"/>
        <v>-</v>
      </c>
      <c r="AR15" s="52" t="str">
        <f t="shared" si="22"/>
        <v>-</v>
      </c>
      <c r="AS15" s="52" t="str">
        <f t="shared" si="23"/>
        <v>-</v>
      </c>
      <c r="AT15" s="52" t="str">
        <f t="shared" si="24"/>
        <v>-</v>
      </c>
      <c r="AU15" s="52" t="str">
        <f t="shared" si="25"/>
        <v>-</v>
      </c>
      <c r="AV15" s="52" t="str">
        <f t="shared" si="26"/>
        <v>-</v>
      </c>
      <c r="AW15" s="52" t="str">
        <f t="shared" si="27"/>
        <v>-</v>
      </c>
      <c r="AX15" s="52" t="str">
        <f t="shared" si="28"/>
        <v>-</v>
      </c>
      <c r="AY15" s="52" t="str">
        <f t="shared" si="29"/>
        <v>-</v>
      </c>
      <c r="AZ15" s="52" t="str">
        <f t="shared" si="30"/>
        <v>-</v>
      </c>
      <c r="BA15" s="52" t="str">
        <f t="shared" si="31"/>
        <v>-</v>
      </c>
      <c r="BB15" s="52" t="str">
        <f t="shared" si="32"/>
        <v>-</v>
      </c>
      <c r="BC15" s="52" t="str">
        <f t="shared" si="33"/>
        <v>-</v>
      </c>
      <c r="BD15" s="52" t="str">
        <f t="shared" si="34"/>
        <v>-</v>
      </c>
      <c r="BE15" s="53" t="str">
        <f t="shared" si="35"/>
        <v>-</v>
      </c>
      <c r="BF15" s="51" t="str">
        <f t="shared" si="36"/>
        <v>-</v>
      </c>
      <c r="BG15" s="52" t="str">
        <f t="shared" si="37"/>
        <v>-</v>
      </c>
      <c r="BH15" s="52" t="str">
        <f t="shared" si="38"/>
        <v>-</v>
      </c>
      <c r="BI15" s="52" t="str">
        <f t="shared" si="39"/>
        <v>-</v>
      </c>
      <c r="BJ15" s="52" t="str">
        <f t="shared" si="40"/>
        <v>-</v>
      </c>
      <c r="BK15" s="52" t="str">
        <f t="shared" si="41"/>
        <v>-</v>
      </c>
      <c r="BL15" s="52" t="str">
        <f t="shared" si="42"/>
        <v>-</v>
      </c>
      <c r="BM15" s="52" t="str">
        <f t="shared" si="43"/>
        <v>-</v>
      </c>
      <c r="BN15" s="52" t="str">
        <f t="shared" si="44"/>
        <v>-</v>
      </c>
      <c r="BO15" s="52" t="str">
        <f t="shared" si="45"/>
        <v>-</v>
      </c>
      <c r="BP15" s="52" t="str">
        <f t="shared" si="46"/>
        <v>-</v>
      </c>
      <c r="BQ15" s="52" t="str">
        <f t="shared" si="47"/>
        <v>-</v>
      </c>
      <c r="BR15" s="52" t="str">
        <f t="shared" si="48"/>
        <v>-</v>
      </c>
      <c r="BS15" s="52" t="str">
        <f t="shared" si="49"/>
        <v>-</v>
      </c>
      <c r="BT15" s="52" t="str">
        <f t="shared" si="50"/>
        <v>-</v>
      </c>
      <c r="BU15" s="52" t="str">
        <f t="shared" si="51"/>
        <v>-</v>
      </c>
      <c r="BV15" s="52" t="str">
        <f t="shared" si="52"/>
        <v>-</v>
      </c>
      <c r="BW15" s="53" t="str">
        <f t="shared" si="53"/>
        <v>-</v>
      </c>
      <c r="BX15" s="51" t="str">
        <f t="shared" si="54"/>
        <v>-</v>
      </c>
      <c r="BY15" s="52" t="str">
        <f t="shared" si="55"/>
        <v>-</v>
      </c>
      <c r="BZ15" s="52" t="str">
        <f t="shared" si="56"/>
        <v>-</v>
      </c>
      <c r="CA15" s="52" t="str">
        <f t="shared" si="57"/>
        <v>-</v>
      </c>
      <c r="CB15" s="52" t="str">
        <f t="shared" si="58"/>
        <v>-</v>
      </c>
      <c r="CC15" s="52" t="str">
        <f t="shared" si="59"/>
        <v>-</v>
      </c>
      <c r="CD15" s="52" t="str">
        <f t="shared" si="60"/>
        <v>-</v>
      </c>
      <c r="CE15" s="52" t="str">
        <f t="shared" si="61"/>
        <v>-</v>
      </c>
      <c r="CF15" s="52" t="str">
        <f t="shared" si="62"/>
        <v>-</v>
      </c>
      <c r="CG15" s="52" t="str">
        <f t="shared" si="63"/>
        <v>-</v>
      </c>
      <c r="CH15" s="52" t="str">
        <f t="shared" si="64"/>
        <v>-</v>
      </c>
      <c r="CI15" s="52" t="str">
        <f t="shared" si="65"/>
        <v>-</v>
      </c>
      <c r="CJ15" s="52" t="str">
        <f t="shared" si="66"/>
        <v>-</v>
      </c>
      <c r="CK15" s="52" t="str">
        <f t="shared" si="67"/>
        <v>-</v>
      </c>
      <c r="CL15" s="52" t="str">
        <f t="shared" si="68"/>
        <v>-</v>
      </c>
      <c r="CM15" s="52" t="str">
        <f t="shared" si="69"/>
        <v>-</v>
      </c>
      <c r="CN15" s="52" t="str">
        <f t="shared" si="70"/>
        <v>-</v>
      </c>
      <c r="CO15" s="53" t="str">
        <f t="shared" si="71"/>
        <v>-</v>
      </c>
      <c r="CQ15" s="305" t="str">
        <f t="shared" si="126"/>
        <v>-</v>
      </c>
      <c r="CR15" s="305">
        <f t="shared" si="127"/>
        <v>68.47</v>
      </c>
      <c r="CS15" s="305" t="str">
        <f t="shared" si="128"/>
        <v>-</v>
      </c>
      <c r="CT15" s="305" t="str">
        <f t="shared" si="129"/>
        <v>-</v>
      </c>
      <c r="CU15" s="305" t="str">
        <f t="shared" si="130"/>
        <v>-</v>
      </c>
      <c r="CV15" s="305" t="str">
        <f t="shared" si="131"/>
        <v>-</v>
      </c>
      <c r="CX15" s="51">
        <f t="shared" si="72"/>
        <v>67.260000000000005</v>
      </c>
      <c r="CY15" s="52" t="str">
        <f t="shared" si="73"/>
        <v>-</v>
      </c>
      <c r="CZ15" s="53" t="str">
        <f t="shared" si="74"/>
        <v>-</v>
      </c>
      <c r="DA15" s="51" t="str">
        <f t="shared" si="75"/>
        <v>-</v>
      </c>
      <c r="DB15" s="52" t="str">
        <f t="shared" si="76"/>
        <v>-</v>
      </c>
      <c r="DC15" s="53" t="str">
        <f t="shared" si="77"/>
        <v>-</v>
      </c>
      <c r="DD15" s="57"/>
      <c r="DE15" s="106" t="str">
        <f t="shared" si="78"/>
        <v>-</v>
      </c>
      <c r="DF15" s="107" t="str">
        <f t="shared" si="79"/>
        <v>-</v>
      </c>
      <c r="DG15" s="107" t="str">
        <f t="shared" si="80"/>
        <v>-</v>
      </c>
      <c r="DH15" s="107">
        <f t="shared" si="81"/>
        <v>67.260000000000005</v>
      </c>
      <c r="DI15" s="107" t="str">
        <f t="shared" si="82"/>
        <v>-</v>
      </c>
      <c r="DJ15" s="107" t="str">
        <f t="shared" si="83"/>
        <v>-</v>
      </c>
      <c r="DK15" s="107" t="str">
        <f t="shared" si="84"/>
        <v>-</v>
      </c>
      <c r="DL15" s="107" t="str">
        <f t="shared" si="85"/>
        <v>-</v>
      </c>
      <c r="DM15" s="108" t="str">
        <f t="shared" si="86"/>
        <v>-</v>
      </c>
      <c r="DO15" s="106" t="str">
        <f t="shared" si="87"/>
        <v>-</v>
      </c>
      <c r="DP15" s="107" t="str">
        <f t="shared" si="88"/>
        <v>-</v>
      </c>
      <c r="DQ15" s="107" t="str">
        <f t="shared" si="89"/>
        <v>-</v>
      </c>
      <c r="DR15" s="107">
        <f t="shared" si="90"/>
        <v>67.260000000000005</v>
      </c>
      <c r="DS15" s="107" t="str">
        <f t="shared" si="91"/>
        <v>-</v>
      </c>
      <c r="DT15" s="107" t="str">
        <f t="shared" si="92"/>
        <v>-</v>
      </c>
      <c r="DU15" s="107" t="str">
        <f t="shared" si="93"/>
        <v>-</v>
      </c>
      <c r="DV15" s="107" t="str">
        <f t="shared" si="94"/>
        <v>-</v>
      </c>
      <c r="DW15" s="108" t="str">
        <f t="shared" si="95"/>
        <v>-</v>
      </c>
      <c r="DX15" s="109" t="str">
        <f t="shared" si="96"/>
        <v>-</v>
      </c>
      <c r="DY15" s="110" t="str">
        <f t="shared" si="97"/>
        <v>-</v>
      </c>
      <c r="DZ15" s="110" t="str">
        <f t="shared" si="98"/>
        <v>-</v>
      </c>
      <c r="EA15" s="110" t="str">
        <f t="shared" si="99"/>
        <v>-</v>
      </c>
      <c r="EB15" s="110" t="str">
        <f t="shared" si="100"/>
        <v>-</v>
      </c>
      <c r="EC15" s="110" t="str">
        <f t="shared" si="101"/>
        <v>-</v>
      </c>
      <c r="ED15" s="110" t="str">
        <f t="shared" si="102"/>
        <v>-</v>
      </c>
      <c r="EE15" s="110" t="str">
        <f t="shared" si="103"/>
        <v>-</v>
      </c>
      <c r="EF15" s="111" t="str">
        <f t="shared" si="104"/>
        <v>-</v>
      </c>
      <c r="EG15" s="109" t="str">
        <f t="shared" si="105"/>
        <v>-</v>
      </c>
      <c r="EH15" s="110" t="str">
        <f t="shared" si="106"/>
        <v>-</v>
      </c>
      <c r="EI15" s="110" t="str">
        <f t="shared" si="107"/>
        <v>-</v>
      </c>
      <c r="EJ15" s="110" t="str">
        <f t="shared" si="108"/>
        <v>-</v>
      </c>
      <c r="EK15" s="110" t="str">
        <f t="shared" si="109"/>
        <v>-</v>
      </c>
      <c r="EL15" s="110" t="str">
        <f t="shared" si="110"/>
        <v>-</v>
      </c>
      <c r="EM15" s="110" t="str">
        <f t="shared" si="111"/>
        <v>-</v>
      </c>
      <c r="EN15" s="110" t="str">
        <f t="shared" si="112"/>
        <v>-</v>
      </c>
      <c r="EO15" s="111" t="str">
        <f t="shared" si="113"/>
        <v>-</v>
      </c>
      <c r="EQ15" s="118">
        <f t="shared" si="114"/>
        <v>67.260000000000005</v>
      </c>
      <c r="ER15" s="119" t="str">
        <f t="shared" si="115"/>
        <v>-</v>
      </c>
      <c r="ES15" s="120" t="str">
        <f t="shared" si="116"/>
        <v>-</v>
      </c>
      <c r="ET15" s="90">
        <v>2</v>
      </c>
      <c r="EU15" s="118">
        <f t="shared" si="117"/>
        <v>2</v>
      </c>
      <c r="EV15" s="119" t="str">
        <f t="shared" si="118"/>
        <v>-</v>
      </c>
      <c r="EW15" s="120" t="str">
        <f t="shared" si="119"/>
        <v>-</v>
      </c>
    </row>
    <row r="16" spans="1:153" ht="15.75" thickBot="1" x14ac:dyDescent="0.3">
      <c r="A16" s="44"/>
      <c r="B16" s="171" t="s">
        <v>450</v>
      </c>
      <c r="C16" s="171" t="s">
        <v>453</v>
      </c>
      <c r="D16" s="42">
        <f>VLOOKUP(B16,'BASE DE DATOS'!$B$3:$E$106,2,FALSE)</f>
        <v>36.85</v>
      </c>
      <c r="E16" s="42">
        <f>VLOOKUP(B16,'BASE DE DATOS'!$B$3:$E$106,4,FALSE)</f>
        <v>1.7199999999999989</v>
      </c>
      <c r="F16" s="42">
        <f>VLOOKUP(C16,'BASE DE DATOS'!$B$3:$E$106,2,FALSE)</f>
        <v>35.85</v>
      </c>
      <c r="G16" s="42">
        <f>VLOOKUP(C16,'BASE DE DATOS'!$B$3:$E$106,4,FALSE)</f>
        <v>1.5300000000000011</v>
      </c>
      <c r="H16" s="43">
        <f t="shared" si="120"/>
        <v>1.625</v>
      </c>
      <c r="I16" s="171">
        <v>58.17</v>
      </c>
      <c r="J16" s="40">
        <f t="shared" si="121"/>
        <v>58.17</v>
      </c>
      <c r="K16" s="40">
        <f t="shared" si="122"/>
        <v>56.58</v>
      </c>
      <c r="L16" s="40">
        <f t="shared" si="123"/>
        <v>56.98</v>
      </c>
      <c r="M16" s="44">
        <f t="shared" si="124"/>
        <v>200</v>
      </c>
      <c r="N16" s="40">
        <f t="shared" si="125"/>
        <v>58.18</v>
      </c>
      <c r="O16" s="171" t="s">
        <v>120</v>
      </c>
      <c r="P16" s="19">
        <v>187.6</v>
      </c>
      <c r="Q16" s="171" t="s">
        <v>122</v>
      </c>
      <c r="R16" s="171" t="s">
        <v>133</v>
      </c>
      <c r="S16" s="171" t="s">
        <v>147</v>
      </c>
      <c r="T16" s="171" t="s">
        <v>146</v>
      </c>
      <c r="V16" s="51" t="str">
        <f t="shared" si="0"/>
        <v>-</v>
      </c>
      <c r="W16" s="52" t="str">
        <f t="shared" si="1"/>
        <v>-</v>
      </c>
      <c r="X16" s="52" t="str">
        <f t="shared" si="2"/>
        <v>-</v>
      </c>
      <c r="Y16" s="52" t="str">
        <f t="shared" si="3"/>
        <v>-</v>
      </c>
      <c r="Z16" s="52">
        <f t="shared" si="4"/>
        <v>56.58</v>
      </c>
      <c r="AA16" s="52" t="str">
        <f t="shared" si="5"/>
        <v>-</v>
      </c>
      <c r="AB16" s="52" t="str">
        <f t="shared" si="6"/>
        <v>-</v>
      </c>
      <c r="AC16" s="52" t="str">
        <f t="shared" si="7"/>
        <v>-</v>
      </c>
      <c r="AD16" s="52" t="str">
        <f t="shared" si="8"/>
        <v>-</v>
      </c>
      <c r="AE16" s="52" t="str">
        <f t="shared" si="9"/>
        <v>-</v>
      </c>
      <c r="AF16" s="52" t="str">
        <f t="shared" si="10"/>
        <v>-</v>
      </c>
      <c r="AG16" s="52" t="str">
        <f t="shared" si="11"/>
        <v>-</v>
      </c>
      <c r="AH16" s="52" t="str">
        <f t="shared" si="12"/>
        <v>-</v>
      </c>
      <c r="AI16" s="52" t="str">
        <f t="shared" si="13"/>
        <v>-</v>
      </c>
      <c r="AJ16" s="52" t="str">
        <f t="shared" si="14"/>
        <v>-</v>
      </c>
      <c r="AK16" s="52" t="str">
        <f t="shared" si="15"/>
        <v>-</v>
      </c>
      <c r="AL16" s="52" t="str">
        <f t="shared" si="16"/>
        <v>-</v>
      </c>
      <c r="AM16" s="53" t="str">
        <f t="shared" si="17"/>
        <v>-</v>
      </c>
      <c r="AN16" s="51" t="str">
        <f t="shared" si="18"/>
        <v>-</v>
      </c>
      <c r="AO16" s="52" t="str">
        <f t="shared" si="19"/>
        <v>-</v>
      </c>
      <c r="AP16" s="52" t="str">
        <f t="shared" si="20"/>
        <v>-</v>
      </c>
      <c r="AQ16" s="52" t="str">
        <f t="shared" si="21"/>
        <v>-</v>
      </c>
      <c r="AR16" s="52" t="str">
        <f t="shared" si="22"/>
        <v>-</v>
      </c>
      <c r="AS16" s="52" t="str">
        <f t="shared" si="23"/>
        <v>-</v>
      </c>
      <c r="AT16" s="52" t="str">
        <f t="shared" si="24"/>
        <v>-</v>
      </c>
      <c r="AU16" s="52" t="str">
        <f t="shared" si="25"/>
        <v>-</v>
      </c>
      <c r="AV16" s="52" t="str">
        <f t="shared" si="26"/>
        <v>-</v>
      </c>
      <c r="AW16" s="52" t="str">
        <f t="shared" si="27"/>
        <v>-</v>
      </c>
      <c r="AX16" s="52" t="str">
        <f t="shared" si="28"/>
        <v>-</v>
      </c>
      <c r="AY16" s="52" t="str">
        <f t="shared" si="29"/>
        <v>-</v>
      </c>
      <c r="AZ16" s="52" t="str">
        <f t="shared" si="30"/>
        <v>-</v>
      </c>
      <c r="BA16" s="52" t="str">
        <f t="shared" si="31"/>
        <v>-</v>
      </c>
      <c r="BB16" s="52" t="str">
        <f t="shared" si="32"/>
        <v>-</v>
      </c>
      <c r="BC16" s="52" t="str">
        <f t="shared" si="33"/>
        <v>-</v>
      </c>
      <c r="BD16" s="52" t="str">
        <f t="shared" si="34"/>
        <v>-</v>
      </c>
      <c r="BE16" s="53" t="str">
        <f t="shared" si="35"/>
        <v>-</v>
      </c>
      <c r="BF16" s="51" t="str">
        <f t="shared" si="36"/>
        <v>-</v>
      </c>
      <c r="BG16" s="52" t="str">
        <f t="shared" si="37"/>
        <v>-</v>
      </c>
      <c r="BH16" s="52" t="str">
        <f t="shared" si="38"/>
        <v>-</v>
      </c>
      <c r="BI16" s="52" t="str">
        <f t="shared" si="39"/>
        <v>-</v>
      </c>
      <c r="BJ16" s="52" t="str">
        <f t="shared" si="40"/>
        <v>-</v>
      </c>
      <c r="BK16" s="52" t="str">
        <f t="shared" si="41"/>
        <v>-</v>
      </c>
      <c r="BL16" s="52" t="str">
        <f t="shared" si="42"/>
        <v>-</v>
      </c>
      <c r="BM16" s="52" t="str">
        <f t="shared" si="43"/>
        <v>-</v>
      </c>
      <c r="BN16" s="52" t="str">
        <f t="shared" si="44"/>
        <v>-</v>
      </c>
      <c r="BO16" s="52" t="str">
        <f t="shared" si="45"/>
        <v>-</v>
      </c>
      <c r="BP16" s="52" t="str">
        <f t="shared" si="46"/>
        <v>-</v>
      </c>
      <c r="BQ16" s="52" t="str">
        <f t="shared" si="47"/>
        <v>-</v>
      </c>
      <c r="BR16" s="52" t="str">
        <f t="shared" si="48"/>
        <v>-</v>
      </c>
      <c r="BS16" s="52" t="str">
        <f t="shared" si="49"/>
        <v>-</v>
      </c>
      <c r="BT16" s="52" t="str">
        <f t="shared" si="50"/>
        <v>-</v>
      </c>
      <c r="BU16" s="52" t="str">
        <f t="shared" si="51"/>
        <v>-</v>
      </c>
      <c r="BV16" s="52" t="str">
        <f t="shared" si="52"/>
        <v>-</v>
      </c>
      <c r="BW16" s="53" t="str">
        <f t="shared" si="53"/>
        <v>-</v>
      </c>
      <c r="BX16" s="51" t="str">
        <f t="shared" si="54"/>
        <v>-</v>
      </c>
      <c r="BY16" s="52" t="str">
        <f t="shared" si="55"/>
        <v>-</v>
      </c>
      <c r="BZ16" s="52" t="str">
        <f t="shared" si="56"/>
        <v>-</v>
      </c>
      <c r="CA16" s="52" t="str">
        <f t="shared" si="57"/>
        <v>-</v>
      </c>
      <c r="CB16" s="52" t="str">
        <f t="shared" si="58"/>
        <v>-</v>
      </c>
      <c r="CC16" s="52" t="str">
        <f t="shared" si="59"/>
        <v>-</v>
      </c>
      <c r="CD16" s="52" t="str">
        <f t="shared" si="60"/>
        <v>-</v>
      </c>
      <c r="CE16" s="52" t="str">
        <f t="shared" si="61"/>
        <v>-</v>
      </c>
      <c r="CF16" s="52" t="str">
        <f t="shared" si="62"/>
        <v>-</v>
      </c>
      <c r="CG16" s="52" t="str">
        <f t="shared" si="63"/>
        <v>-</v>
      </c>
      <c r="CH16" s="52" t="str">
        <f t="shared" si="64"/>
        <v>-</v>
      </c>
      <c r="CI16" s="52" t="str">
        <f t="shared" si="65"/>
        <v>-</v>
      </c>
      <c r="CJ16" s="52" t="str">
        <f t="shared" si="66"/>
        <v>-</v>
      </c>
      <c r="CK16" s="52" t="str">
        <f t="shared" si="67"/>
        <v>-</v>
      </c>
      <c r="CL16" s="52" t="str">
        <f t="shared" si="68"/>
        <v>-</v>
      </c>
      <c r="CM16" s="52" t="str">
        <f t="shared" si="69"/>
        <v>-</v>
      </c>
      <c r="CN16" s="52" t="str">
        <f t="shared" si="70"/>
        <v>-</v>
      </c>
      <c r="CO16" s="53" t="str">
        <f t="shared" si="71"/>
        <v>-</v>
      </c>
      <c r="CQ16" s="305" t="str">
        <f t="shared" si="126"/>
        <v>-</v>
      </c>
      <c r="CR16" s="305">
        <f t="shared" si="127"/>
        <v>58.18</v>
      </c>
      <c r="CS16" s="305" t="str">
        <f t="shared" si="128"/>
        <v>-</v>
      </c>
      <c r="CT16" s="305" t="str">
        <f t="shared" si="129"/>
        <v>-</v>
      </c>
      <c r="CU16" s="305" t="str">
        <f t="shared" si="130"/>
        <v>-</v>
      </c>
      <c r="CV16" s="305" t="str">
        <f t="shared" si="131"/>
        <v>-</v>
      </c>
      <c r="CX16" s="51">
        <f t="shared" si="72"/>
        <v>56.98</v>
      </c>
      <c r="CY16" s="52" t="str">
        <f t="shared" si="73"/>
        <v>-</v>
      </c>
      <c r="CZ16" s="53" t="str">
        <f t="shared" si="74"/>
        <v>-</v>
      </c>
      <c r="DA16" s="51" t="str">
        <f t="shared" si="75"/>
        <v>-</v>
      </c>
      <c r="DB16" s="52" t="str">
        <f t="shared" si="76"/>
        <v>-</v>
      </c>
      <c r="DC16" s="53" t="str">
        <f t="shared" si="77"/>
        <v>-</v>
      </c>
      <c r="DD16" s="57"/>
      <c r="DE16" s="106" t="str">
        <f t="shared" si="78"/>
        <v>-</v>
      </c>
      <c r="DF16" s="107" t="str">
        <f t="shared" si="79"/>
        <v>-</v>
      </c>
      <c r="DG16" s="107" t="str">
        <f t="shared" si="80"/>
        <v>-</v>
      </c>
      <c r="DH16" s="107">
        <f t="shared" si="81"/>
        <v>56.98</v>
      </c>
      <c r="DI16" s="107" t="str">
        <f t="shared" si="82"/>
        <v>-</v>
      </c>
      <c r="DJ16" s="107" t="str">
        <f t="shared" si="83"/>
        <v>-</v>
      </c>
      <c r="DK16" s="107" t="str">
        <f t="shared" si="84"/>
        <v>-</v>
      </c>
      <c r="DL16" s="107" t="str">
        <f t="shared" si="85"/>
        <v>-</v>
      </c>
      <c r="DM16" s="108" t="str">
        <f t="shared" si="86"/>
        <v>-</v>
      </c>
      <c r="DO16" s="106" t="str">
        <f t="shared" si="87"/>
        <v>-</v>
      </c>
      <c r="DP16" s="107" t="str">
        <f t="shared" si="88"/>
        <v>-</v>
      </c>
      <c r="DQ16" s="107" t="str">
        <f t="shared" si="89"/>
        <v>-</v>
      </c>
      <c r="DR16" s="107">
        <f t="shared" si="90"/>
        <v>56.98</v>
      </c>
      <c r="DS16" s="107" t="str">
        <f t="shared" si="91"/>
        <v>-</v>
      </c>
      <c r="DT16" s="107" t="str">
        <f t="shared" si="92"/>
        <v>-</v>
      </c>
      <c r="DU16" s="107" t="str">
        <f t="shared" si="93"/>
        <v>-</v>
      </c>
      <c r="DV16" s="107" t="str">
        <f t="shared" si="94"/>
        <v>-</v>
      </c>
      <c r="DW16" s="108" t="str">
        <f t="shared" si="95"/>
        <v>-</v>
      </c>
      <c r="DX16" s="109" t="str">
        <f t="shared" si="96"/>
        <v>-</v>
      </c>
      <c r="DY16" s="110" t="str">
        <f t="shared" si="97"/>
        <v>-</v>
      </c>
      <c r="DZ16" s="110" t="str">
        <f t="shared" si="98"/>
        <v>-</v>
      </c>
      <c r="EA16" s="110" t="str">
        <f t="shared" si="99"/>
        <v>-</v>
      </c>
      <c r="EB16" s="110" t="str">
        <f t="shared" si="100"/>
        <v>-</v>
      </c>
      <c r="EC16" s="110" t="str">
        <f t="shared" si="101"/>
        <v>-</v>
      </c>
      <c r="ED16" s="110" t="str">
        <f t="shared" si="102"/>
        <v>-</v>
      </c>
      <c r="EE16" s="110" t="str">
        <f t="shared" si="103"/>
        <v>-</v>
      </c>
      <c r="EF16" s="111" t="str">
        <f t="shared" si="104"/>
        <v>-</v>
      </c>
      <c r="EG16" s="109" t="str">
        <f t="shared" si="105"/>
        <v>-</v>
      </c>
      <c r="EH16" s="110" t="str">
        <f t="shared" si="106"/>
        <v>-</v>
      </c>
      <c r="EI16" s="110" t="str">
        <f t="shared" si="107"/>
        <v>-</v>
      </c>
      <c r="EJ16" s="110" t="str">
        <f t="shared" si="108"/>
        <v>-</v>
      </c>
      <c r="EK16" s="110" t="str">
        <f t="shared" si="109"/>
        <v>-</v>
      </c>
      <c r="EL16" s="110" t="str">
        <f t="shared" si="110"/>
        <v>-</v>
      </c>
      <c r="EM16" s="110" t="str">
        <f t="shared" si="111"/>
        <v>-</v>
      </c>
      <c r="EN16" s="110" t="str">
        <f t="shared" si="112"/>
        <v>-</v>
      </c>
      <c r="EO16" s="111" t="str">
        <f t="shared" si="113"/>
        <v>-</v>
      </c>
      <c r="EQ16" s="118">
        <f t="shared" si="114"/>
        <v>56.98</v>
      </c>
      <c r="ER16" s="119" t="str">
        <f t="shared" si="115"/>
        <v>-</v>
      </c>
      <c r="ES16" s="120" t="str">
        <f t="shared" si="116"/>
        <v>-</v>
      </c>
      <c r="ET16" s="90">
        <v>2</v>
      </c>
      <c r="EU16" s="118">
        <f t="shared" si="117"/>
        <v>2</v>
      </c>
      <c r="EV16" s="119" t="str">
        <f t="shared" si="118"/>
        <v>-</v>
      </c>
      <c r="EW16" s="120" t="str">
        <f t="shared" si="119"/>
        <v>-</v>
      </c>
    </row>
    <row r="17" spans="1:153" ht="15.75" thickBot="1" x14ac:dyDescent="0.3">
      <c r="A17" s="44"/>
      <c r="B17" s="171" t="s">
        <v>451</v>
      </c>
      <c r="C17" s="171" t="s">
        <v>452</v>
      </c>
      <c r="D17" s="38">
        <f>VLOOKUP(B17,'BASE DE DATOS'!$B$3:$E$106,2,FALSE)</f>
        <v>34.880000000000003</v>
      </c>
      <c r="E17" s="38">
        <f>VLOOKUP(B17,'BASE DE DATOS'!$B$3:$E$106,4,FALSE)</f>
        <v>1.3700000000000045</v>
      </c>
      <c r="F17" s="38">
        <f>VLOOKUP(C17,'BASE DE DATOS'!$B$3:$E$106,2,FALSE)</f>
        <v>33.270000000000003</v>
      </c>
      <c r="G17" s="38">
        <f>VLOOKUP(C17,'BASE DE DATOS'!$B$3:$E$106,4,FALSE)</f>
        <v>1.3700000000000045</v>
      </c>
      <c r="H17" s="39">
        <f t="shared" si="120"/>
        <v>1.3700000000000045</v>
      </c>
      <c r="I17" s="171">
        <v>62.83</v>
      </c>
      <c r="J17" s="44">
        <f t="shared" ref="J17:J80" si="132">ROUND((I17^2+(E17-G17)^2)^0.5,2)</f>
        <v>62.83</v>
      </c>
      <c r="K17" s="40">
        <f t="shared" ref="K17:K80" si="133">ROUND(((I17-1.6)^2+(D17-E17-F17+G17)^2)^0.5,2)</f>
        <v>61.25</v>
      </c>
      <c r="L17" s="40">
        <f t="shared" ref="L17:L80" si="134">ROUND(((I17-1.2)^2+(D17-E17-F17+G17)^2)^0.5,2)</f>
        <v>61.65</v>
      </c>
      <c r="M17" s="44">
        <f t="shared" si="124"/>
        <v>200</v>
      </c>
      <c r="N17" s="40">
        <f t="shared" si="125"/>
        <v>62.85</v>
      </c>
      <c r="O17" s="171" t="s">
        <v>120</v>
      </c>
      <c r="P17" s="19">
        <v>187.6</v>
      </c>
      <c r="Q17" s="171" t="s">
        <v>122</v>
      </c>
      <c r="R17" s="171" t="s">
        <v>133</v>
      </c>
      <c r="S17" s="171" t="s">
        <v>147</v>
      </c>
      <c r="T17" s="171" t="s">
        <v>146</v>
      </c>
      <c r="V17" s="51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3"/>
      <c r="AN17" s="51"/>
      <c r="AO17" s="52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3"/>
      <c r="BF17" s="51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52"/>
      <c r="BW17" s="53"/>
      <c r="BX17" s="51"/>
      <c r="BY17" s="52"/>
      <c r="BZ17" s="52"/>
      <c r="CA17" s="52"/>
      <c r="CB17" s="52"/>
      <c r="CC17" s="52"/>
      <c r="CD17" s="52"/>
      <c r="CE17" s="52"/>
      <c r="CF17" s="52"/>
      <c r="CG17" s="52"/>
      <c r="CH17" s="52"/>
      <c r="CI17" s="52"/>
      <c r="CJ17" s="52"/>
      <c r="CK17" s="52"/>
      <c r="CL17" s="52"/>
      <c r="CM17" s="52"/>
      <c r="CN17" s="52"/>
      <c r="CO17" s="53"/>
      <c r="CQ17" s="305" t="str">
        <f t="shared" si="126"/>
        <v>-</v>
      </c>
      <c r="CR17" s="305">
        <f t="shared" si="127"/>
        <v>62.85</v>
      </c>
      <c r="CS17" s="305" t="str">
        <f t="shared" si="128"/>
        <v>-</v>
      </c>
      <c r="CT17" s="305" t="str">
        <f t="shared" si="129"/>
        <v>-</v>
      </c>
      <c r="CU17" s="305" t="str">
        <f t="shared" si="130"/>
        <v>-</v>
      </c>
      <c r="CV17" s="305" t="str">
        <f t="shared" si="131"/>
        <v>-</v>
      </c>
      <c r="CX17" s="51">
        <f t="shared" si="72"/>
        <v>61.65</v>
      </c>
      <c r="CY17" s="52" t="str">
        <f t="shared" si="73"/>
        <v>-</v>
      </c>
      <c r="CZ17" s="53" t="str">
        <f t="shared" si="74"/>
        <v>-</v>
      </c>
      <c r="DA17" s="51" t="str">
        <f t="shared" si="75"/>
        <v>-</v>
      </c>
      <c r="DB17" s="52" t="str">
        <f t="shared" si="76"/>
        <v>-</v>
      </c>
      <c r="DC17" s="53" t="str">
        <f t="shared" si="77"/>
        <v>-</v>
      </c>
      <c r="DD17" s="57"/>
      <c r="DE17" s="106" t="str">
        <f t="shared" si="78"/>
        <v>-</v>
      </c>
      <c r="DF17" s="107" t="str">
        <f t="shared" si="79"/>
        <v>-</v>
      </c>
      <c r="DG17" s="107" t="str">
        <f t="shared" si="80"/>
        <v>-</v>
      </c>
      <c r="DH17" s="107">
        <f t="shared" si="81"/>
        <v>61.65</v>
      </c>
      <c r="DI17" s="107" t="str">
        <f t="shared" si="82"/>
        <v>-</v>
      </c>
      <c r="DJ17" s="107" t="str">
        <f t="shared" si="83"/>
        <v>-</v>
      </c>
      <c r="DK17" s="107" t="str">
        <f t="shared" si="84"/>
        <v>-</v>
      </c>
      <c r="DL17" s="107" t="str">
        <f t="shared" si="85"/>
        <v>-</v>
      </c>
      <c r="DM17" s="108" t="str">
        <f t="shared" si="86"/>
        <v>-</v>
      </c>
      <c r="DO17" s="106" t="str">
        <f t="shared" si="87"/>
        <v>-</v>
      </c>
      <c r="DP17" s="107" t="str">
        <f t="shared" si="88"/>
        <v>-</v>
      </c>
      <c r="DQ17" s="107" t="str">
        <f t="shared" si="89"/>
        <v>-</v>
      </c>
      <c r="DR17" s="107">
        <f t="shared" si="90"/>
        <v>61.65</v>
      </c>
      <c r="DS17" s="107" t="str">
        <f t="shared" si="91"/>
        <v>-</v>
      </c>
      <c r="DT17" s="107" t="str">
        <f t="shared" si="92"/>
        <v>-</v>
      </c>
      <c r="DU17" s="107" t="str">
        <f t="shared" si="93"/>
        <v>-</v>
      </c>
      <c r="DV17" s="107" t="str">
        <f t="shared" si="94"/>
        <v>-</v>
      </c>
      <c r="DW17" s="108" t="str">
        <f t="shared" si="95"/>
        <v>-</v>
      </c>
      <c r="DX17" s="109" t="str">
        <f t="shared" si="96"/>
        <v>-</v>
      </c>
      <c r="DY17" s="110" t="str">
        <f t="shared" si="97"/>
        <v>-</v>
      </c>
      <c r="DZ17" s="110" t="str">
        <f t="shared" si="98"/>
        <v>-</v>
      </c>
      <c r="EA17" s="110" t="str">
        <f t="shared" si="99"/>
        <v>-</v>
      </c>
      <c r="EB17" s="110" t="str">
        <f t="shared" si="100"/>
        <v>-</v>
      </c>
      <c r="EC17" s="110" t="str">
        <f t="shared" si="101"/>
        <v>-</v>
      </c>
      <c r="ED17" s="110" t="str">
        <f t="shared" si="102"/>
        <v>-</v>
      </c>
      <c r="EE17" s="110" t="str">
        <f t="shared" si="103"/>
        <v>-</v>
      </c>
      <c r="EF17" s="111" t="str">
        <f t="shared" si="104"/>
        <v>-</v>
      </c>
      <c r="EG17" s="109" t="str">
        <f t="shared" si="105"/>
        <v>-</v>
      </c>
      <c r="EH17" s="110" t="str">
        <f t="shared" si="106"/>
        <v>-</v>
      </c>
      <c r="EI17" s="110" t="str">
        <f t="shared" si="107"/>
        <v>-</v>
      </c>
      <c r="EJ17" s="110" t="str">
        <f t="shared" si="108"/>
        <v>-</v>
      </c>
      <c r="EK17" s="110" t="str">
        <f t="shared" si="109"/>
        <v>-</v>
      </c>
      <c r="EL17" s="110" t="str">
        <f t="shared" si="110"/>
        <v>-</v>
      </c>
      <c r="EM17" s="110" t="str">
        <f t="shared" si="111"/>
        <v>-</v>
      </c>
      <c r="EN17" s="110" t="str">
        <f t="shared" si="112"/>
        <v>-</v>
      </c>
      <c r="EO17" s="111" t="str">
        <f t="shared" si="113"/>
        <v>-</v>
      </c>
      <c r="EQ17" s="118">
        <f t="shared" si="114"/>
        <v>61.65</v>
      </c>
      <c r="ER17" s="119" t="str">
        <f t="shared" si="115"/>
        <v>-</v>
      </c>
      <c r="ES17" s="120" t="str">
        <f t="shared" si="116"/>
        <v>-</v>
      </c>
      <c r="ET17" s="90">
        <v>2</v>
      </c>
      <c r="EU17" s="118">
        <f t="shared" si="117"/>
        <v>2</v>
      </c>
      <c r="EV17" s="119" t="str">
        <f t="shared" si="118"/>
        <v>-</v>
      </c>
      <c r="EW17" s="120" t="str">
        <f t="shared" si="119"/>
        <v>-</v>
      </c>
    </row>
    <row r="18" spans="1:153" ht="15.75" thickBot="1" x14ac:dyDescent="0.3">
      <c r="A18" s="41"/>
      <c r="B18" s="171" t="s">
        <v>452</v>
      </c>
      <c r="C18" s="171" t="s">
        <v>530</v>
      </c>
      <c r="D18" s="42">
        <f>VLOOKUP(B18,'BASE DE DATOS'!$B$3:$E$106,2,FALSE)</f>
        <v>33.270000000000003</v>
      </c>
      <c r="E18" s="42">
        <f>VLOOKUP(B18,'BASE DE DATOS'!$B$3:$E$106,4,FALSE)</f>
        <v>1.3700000000000045</v>
      </c>
      <c r="F18" s="42">
        <f>VLOOKUP(C18,'BASE DE DATOS'!$B$3:$E$106,2,FALSE)</f>
        <v>33.03</v>
      </c>
      <c r="G18" s="42">
        <f>VLOOKUP(C18,'BASE DE DATOS'!$B$3:$E$106,4,FALSE)</f>
        <v>1.5</v>
      </c>
      <c r="H18" s="43">
        <f t="shared" ref="H18:H81" si="135">(E18+G18)/2</f>
        <v>1.4350000000000023</v>
      </c>
      <c r="I18" s="171">
        <v>12.66</v>
      </c>
      <c r="J18" s="44">
        <f t="shared" si="132"/>
        <v>12.66</v>
      </c>
      <c r="K18" s="40">
        <f t="shared" si="133"/>
        <v>11.07</v>
      </c>
      <c r="L18" s="40">
        <f t="shared" si="134"/>
        <v>11.47</v>
      </c>
      <c r="M18" s="40">
        <f t="shared" si="124"/>
        <v>200</v>
      </c>
      <c r="N18" s="40">
        <f t="shared" si="125"/>
        <v>12.66</v>
      </c>
      <c r="O18" s="171" t="s">
        <v>120</v>
      </c>
      <c r="P18" s="19">
        <v>187.6</v>
      </c>
      <c r="Q18" s="171" t="s">
        <v>122</v>
      </c>
      <c r="R18" s="171" t="s">
        <v>133</v>
      </c>
      <c r="S18" s="171" t="s">
        <v>147</v>
      </c>
      <c r="T18" s="171" t="s">
        <v>146</v>
      </c>
      <c r="V18" s="51" t="str">
        <f t="shared" ref="V18:V49" si="136">IF(AND($H18&lt;=1.25,$Q18="R",$R18="NO",$T18="E",$M18&gt;=200,$M18&lt;=250)=TRUE,$K18,"-")</f>
        <v>-</v>
      </c>
      <c r="W18" s="52" t="str">
        <f t="shared" ref="W18:W49" si="137">IF(AND($H18&lt;=1.25,$Q18="P",$R18="NO",$T18="E",$M18&gt;=200,$M18&lt;=250)=TRUE,$K18,"-")</f>
        <v>-</v>
      </c>
      <c r="X18" s="52">
        <f t="shared" ref="X18:X49" si="138">IF(AND(1.25&lt;$H18,$H18&lt;=1.5,$Q18="R",$R18="NO",$T18="E",$M18&gt;=200,$M18&lt;=250)=TRUE,$K18,"-")</f>
        <v>11.07</v>
      </c>
      <c r="Y18" s="52" t="str">
        <f t="shared" ref="Y18:Y49" si="139">IF(AND(1.25&lt;$H18,$H18&lt;=1.5,$Q18="P",$R18="NO",$T18="E",$M18&gt;=200,$M18&lt;=250)=TRUE,$K18,"-")</f>
        <v>-</v>
      </c>
      <c r="Z18" s="52" t="str">
        <f t="shared" ref="Z18:Z49" si="140">IF(AND(1.5&lt;$H18,$H18&lt;=1.75,$Q18="R",$R18="NO",$T18="E",$M18&gt;=200,$M18&lt;=250)=TRUE,$K18,"-")</f>
        <v>-</v>
      </c>
      <c r="AA18" s="52" t="str">
        <f t="shared" ref="AA18:AA49" si="141">IF(AND(1.5&lt;$H18,$H18&lt;=1.75,$Q18="P",$R18="NO",$T18="E",$M18&gt;=200,$M18&lt;=250)=TRUE,$K18,"-")</f>
        <v>-</v>
      </c>
      <c r="AB18" s="52" t="str">
        <f t="shared" ref="AB18:AB49" si="142">IF(AND(1.75&lt;$H18,$H18&lt;=2,$Q18="R",$R18="NO",$T18="E",$M18&gt;=200,$M18&lt;=250)=TRUE,$K18,"-")</f>
        <v>-</v>
      </c>
      <c r="AC18" s="52" t="str">
        <f t="shared" ref="AC18:AC49" si="143">IF(AND(1.75&lt;$H18,$H18&lt;=2,$Q18="P",$R18="NO",$T18="E",$M18&gt;=200,$M18&lt;=250)=TRUE,$K18,"-")</f>
        <v>-</v>
      </c>
      <c r="AD18" s="52" t="str">
        <f t="shared" ref="AD18:AD49" si="144">IF(AND(2&lt;$H18,$H18&lt;=2.5,$Q18="R",$R18="NO",$T18="E",$M18&gt;=200,$M18&lt;=250)=TRUE,$K18,"-")</f>
        <v>-</v>
      </c>
      <c r="AE18" s="52" t="str">
        <f t="shared" ref="AE18:AE49" si="145">IF(AND(2&lt;$H18,$H18&lt;=2.5,$Q18="P",$R18="NO",$T18="E",$M18&gt;=200,$M18&lt;=250)=TRUE,$K18,"-")</f>
        <v>-</v>
      </c>
      <c r="AF18" s="52" t="str">
        <f t="shared" ref="AF18:AF49" si="146">IF(AND(2.5&lt;$H18,$H18&lt;=3,$Q18="R",$R18="NO",$T18="E",$M18&gt;=200,$M18&lt;=250)=TRUE,$K18,"-")</f>
        <v>-</v>
      </c>
      <c r="AG18" s="52" t="str">
        <f t="shared" ref="AG18:AG49" si="147">IF(AND(2.5&lt;$H18,$H18&lt;=3,$Q18="P",$R18="NO",$T18="E",$M18&gt;=200,$M18&lt;=250)=TRUE,$K18,"-")</f>
        <v>-</v>
      </c>
      <c r="AH18" s="52" t="str">
        <f t="shared" ref="AH18:AH49" si="148">IF(AND(3&lt;$H18,$H18&lt;=3.5,$Q18="R",$R18="NO",$T18="E",$M18&gt;=200,$M18&lt;=250)=TRUE,$K18,"-")</f>
        <v>-</v>
      </c>
      <c r="AI18" s="52" t="str">
        <f t="shared" ref="AI18:AI49" si="149">IF(AND(3&lt;$H18,$H18&lt;=3.5,$Q18="P",$R18="NO",$T18="E",$M18&gt;=200,$M18&lt;=250)=TRUE,$K18,"-")</f>
        <v>-</v>
      </c>
      <c r="AJ18" s="52" t="str">
        <f t="shared" ref="AJ18:AJ49" si="150">IF(AND(3.5&lt;$H18,$H18&lt;=4,$Q18="R",$R18="NO",$T18="E",$M18&gt;=200,$M18&lt;=250)=TRUE,$K18,"-")</f>
        <v>-</v>
      </c>
      <c r="AK18" s="52" t="str">
        <f t="shared" ref="AK18:AK49" si="151">IF(AND(3.5&lt;$H18,$H18&lt;=4,$Q18="P",$R18="NO",$T18="E",$M18&gt;=200,$M18&lt;=250)=TRUE,$K18,"-")</f>
        <v>-</v>
      </c>
      <c r="AL18" s="52" t="str">
        <f t="shared" ref="AL18:AL49" si="152">IF(AND(5&lt;$H18,$H18&lt;=6,$Q18="R",$R18="NO",$T18="E",$M18&gt;=200,$M18&lt;=250)=TRUE,$K18,"-")</f>
        <v>-</v>
      </c>
      <c r="AM18" s="53" t="str">
        <f t="shared" ref="AM18:AM49" si="153">IF(AND(5&lt;$H18,$H18&lt;=6,$Q18="P",$R18="NO",$T18="E",$M18&gt;=200,$M18&lt;=250)=TRUE,$K18,"-")</f>
        <v>-</v>
      </c>
      <c r="AN18" s="51" t="str">
        <f t="shared" ref="AN18:AN49" si="154">IF(AND($H18&lt;=1.25,$Q18="R",$R18="NO",$T18="E",$M18&gt;=300,$M18&lt;=350)=TRUE,$K18,"-")</f>
        <v>-</v>
      </c>
      <c r="AO18" s="52" t="str">
        <f t="shared" ref="AO18:AO49" si="155">IF(AND($H18&lt;=1.25,$Q18="P",$R18="NO",$T18="E",$M18&gt;=300,$M18&lt;=350)=TRUE,$K18,"-")</f>
        <v>-</v>
      </c>
      <c r="AP18" s="52" t="str">
        <f t="shared" ref="AP18:AP49" si="156">IF(AND(1.25&lt;$H18,$H18&lt;=1.5,$Q18="R",$R18="NO",$T18="E",$M18&gt;=300,$M18&lt;=350)=TRUE,$K18,"-")</f>
        <v>-</v>
      </c>
      <c r="AQ18" s="52" t="str">
        <f t="shared" ref="AQ18:AQ49" si="157">IF(AND(1.25&lt;$H18,$H18&lt;=1.5,$Q18="P",$R18="NO",$T18="E",$M18&gt;=300,$M18&lt;=350)=TRUE,$K18,"-")</f>
        <v>-</v>
      </c>
      <c r="AR18" s="52" t="str">
        <f t="shared" ref="AR18:AR49" si="158">IF(AND(1.5&lt;$H18,$H18&lt;=1.75,$Q18="R",$R18="NO",$T18="E",$M18&gt;=300,$M18&lt;=350)=TRUE,$K18,"-")</f>
        <v>-</v>
      </c>
      <c r="AS18" s="52" t="str">
        <f t="shared" ref="AS18:AS49" si="159">IF(AND(1.5&lt;$H18,$H18&lt;=1.75,$Q18="P",$R18="NO",$T18="E",$M18&gt;=300,$M18&lt;=350)=TRUE,$K18,"-")</f>
        <v>-</v>
      </c>
      <c r="AT18" s="52" t="str">
        <f t="shared" ref="AT18:AT49" si="160">IF(AND(1.75&lt;$H18,$H18&lt;=2,$Q18="R",$R18="NO",$T18="E",$M18&gt;=300,$M18&lt;=350)=TRUE,$K18,"-")</f>
        <v>-</v>
      </c>
      <c r="AU18" s="52" t="str">
        <f t="shared" ref="AU18:AU49" si="161">IF(AND(1.75&lt;$H18,$H18&lt;=2,$Q18="P",$R18="NO",$T18="E",$M18&gt;=300,$M18&lt;=350)=TRUE,$K18,"-")</f>
        <v>-</v>
      </c>
      <c r="AV18" s="52" t="str">
        <f t="shared" ref="AV18:AV49" si="162">IF(AND(2&lt;$H18,$H18&lt;=2.5,$Q18="R",$R18="NO",$T18="E",$M18&gt;=300,$M18&lt;=350)=TRUE,$K18,"-")</f>
        <v>-</v>
      </c>
      <c r="AW18" s="52" t="str">
        <f t="shared" ref="AW18:AW49" si="163">IF(AND(2&lt;$H18,$H18&lt;=2.5,$Q18="P",$R18="NO",$T18="E",$M18&gt;=300,$M18&lt;=350)=TRUE,$K18,"-")</f>
        <v>-</v>
      </c>
      <c r="AX18" s="52" t="str">
        <f t="shared" ref="AX18:AX49" si="164">IF(AND(2.5&lt;$H18,$H18&lt;=3,$Q18="R",$R18="NO",$T18="E",$M18&gt;=300,$M18&lt;=350)=TRUE,$K18,"-")</f>
        <v>-</v>
      </c>
      <c r="AY18" s="52" t="str">
        <f t="shared" ref="AY18:AY49" si="165">IF(AND(2.5&lt;$H18,$H18&lt;=3,$Q18="P",$R18="NO",$T18="E",$M18&gt;=300,$M18&lt;=350)=TRUE,$K18,"-")</f>
        <v>-</v>
      </c>
      <c r="AZ18" s="52" t="str">
        <f t="shared" ref="AZ18:AZ49" si="166">IF(AND(3&lt;$H18,$H18&lt;=3.5,$Q18="R",$R18="NO",$T18="E",$M18&gt;=300,$M18&lt;=350)=TRUE,$K18,"-")</f>
        <v>-</v>
      </c>
      <c r="BA18" s="52" t="str">
        <f t="shared" ref="BA18:BA49" si="167">IF(AND(3&lt;$H18,$H18&lt;=3.5,$Q18="P",$R18="NO",$T18="E",$M18&gt;=300,$M18&lt;=350)=TRUE,$K18,"-")</f>
        <v>-</v>
      </c>
      <c r="BB18" s="52" t="str">
        <f t="shared" ref="BB18:BB49" si="168">IF(AND(3.5&lt;$H18,$H18&lt;=4,$Q18="R",$R18="NO",$T18="E",$M18&gt;=300,$M18&lt;=350)=TRUE,$K18,"-")</f>
        <v>-</v>
      </c>
      <c r="BC18" s="52" t="str">
        <f t="shared" ref="BC18:BC49" si="169">IF(AND(3.5&lt;$H18,$H18&lt;=4,$Q18="P",$R18="NO",$T18="E",$M18&gt;=300,$M18&lt;=350)=TRUE,$K18,"-")</f>
        <v>-</v>
      </c>
      <c r="BD18" s="52" t="str">
        <f t="shared" ref="BD18:BD49" si="170">IF(AND(5&lt;$H18,$H18&lt;=6,$Q18="R",$R18="NO",$T18="E",$M18&gt;=300,$M18&lt;=350)=TRUE,$K18,"-")</f>
        <v>-</v>
      </c>
      <c r="BE18" s="53" t="str">
        <f t="shared" ref="BE18:BE49" si="171">IF(AND(5&lt;$H18,$H18&lt;=6,$Q18="P",$R18="NO",$T18="E",$M18&gt;=300,$M18&lt;=350)=TRUE,$K18,"-")</f>
        <v>-</v>
      </c>
      <c r="BF18" s="51" t="str">
        <f t="shared" ref="BF18:BF49" si="172">IF(AND($H18&lt;=1.25,$Q18="R",$R18="NO",$T18="M",$M18&gt;=200,$M18&lt;=250)=TRUE,$K18,"-")</f>
        <v>-</v>
      </c>
      <c r="BG18" s="52" t="str">
        <f t="shared" ref="BG18:BG49" si="173">IF(AND($H18&lt;=1.25,$Q18="P",$R18="NO",$T18="M",$M18&gt;=200,$M18&lt;=250)=TRUE,$K18,"-")</f>
        <v>-</v>
      </c>
      <c r="BH18" s="52" t="str">
        <f t="shared" ref="BH18:BH49" si="174">IF(AND(1.25&lt;$H18,$H18&lt;=1.5,$Q18="R",$R18="NO",$T18="M",$M18&gt;=200,$M18&lt;=250)=TRUE,$K18,"-")</f>
        <v>-</v>
      </c>
      <c r="BI18" s="52" t="str">
        <f t="shared" ref="BI18:BI49" si="175">IF(AND(1.25&lt;$H18,$H18&lt;=1.5,$Q18="P",$R18="NO",$T18="M",$M18&gt;=200,$M18&lt;=250)=TRUE,$K18,"-")</f>
        <v>-</v>
      </c>
      <c r="BJ18" s="52" t="str">
        <f t="shared" ref="BJ18:BJ49" si="176">IF(AND(1.5&lt;$H18,$H18&lt;=1.75,$Q18="R",$R18="NO",$T18="M",$M18&gt;=200,$M18&lt;=250)=TRUE,$K18,"-")</f>
        <v>-</v>
      </c>
      <c r="BK18" s="52" t="str">
        <f t="shared" ref="BK18:BK49" si="177">IF(AND(1.5&lt;$H18,$H18&lt;=1.75,$Q18="P",$R18="NO",$T18="M",$M18&gt;=200,$M18&lt;=250)=TRUE,$K18,"-")</f>
        <v>-</v>
      </c>
      <c r="BL18" s="52" t="str">
        <f t="shared" ref="BL18:BL49" si="178">IF(AND(1.75&lt;$H18,$H18&lt;=2,$Q18="R",$R18="NO",$T18="M",$M18&gt;=200,$M18&lt;=250)=TRUE,$K18,"-")</f>
        <v>-</v>
      </c>
      <c r="BM18" s="52" t="str">
        <f t="shared" ref="BM18:BM49" si="179">IF(AND(1.75&lt;$H18,$H18&lt;=2,$Q18="P",$R18="NO",$T18="M",$M18&gt;=200,$M18&lt;=250)=TRUE,$K18,"-")</f>
        <v>-</v>
      </c>
      <c r="BN18" s="52" t="str">
        <f t="shared" ref="BN18:BN49" si="180">IF(AND(2&lt;$H18,$H18&lt;=2.5,$Q18="R",$R18="NO",$T18="M",$M18&gt;=200,$M18&lt;=250)=TRUE,$K18,"-")</f>
        <v>-</v>
      </c>
      <c r="BO18" s="52" t="str">
        <f t="shared" ref="BO18:BO49" si="181">IF(AND(2&lt;$H18,$H18&lt;=2.5,$Q18="P",$R18="NO",$T18="M",$M18&gt;=200,$M18&lt;=250)=TRUE,$K18,"-")</f>
        <v>-</v>
      </c>
      <c r="BP18" s="52" t="str">
        <f t="shared" ref="BP18:BP49" si="182">IF(AND(2.5&lt;$H18,$H18&lt;=3,$Q18="R",$R18="NO",$T18="M",$M18&gt;=200,$M18&lt;=250)=TRUE,$K18,"-")</f>
        <v>-</v>
      </c>
      <c r="BQ18" s="52" t="str">
        <f t="shared" ref="BQ18:BQ49" si="183">IF(AND(2.5&lt;$H18,$H18&lt;=3,$Q18="P",$R18="NO",$T18="M",$M18&gt;=200,$M18&lt;=250)=TRUE,$K18,"-")</f>
        <v>-</v>
      </c>
      <c r="BR18" s="52" t="str">
        <f t="shared" ref="BR18:BR49" si="184">IF(AND(3&lt;$H18,$H18&lt;=3.5,$Q18="R",$R18="NO",$T18="M",$M18&gt;=200,$M18&lt;=250)=TRUE,$K18,"-")</f>
        <v>-</v>
      </c>
      <c r="BS18" s="52" t="str">
        <f t="shared" ref="BS18:BS49" si="185">IF(AND(3&lt;$H18,$H18&lt;=3.5,$Q18="P",$R18="NO",$T18="M",$M18&gt;=200,$M18&lt;=250)=TRUE,$K18,"-")</f>
        <v>-</v>
      </c>
      <c r="BT18" s="52" t="str">
        <f t="shared" ref="BT18:BT49" si="186">IF(AND(3.5&lt;$H18,$H18&lt;=4,$Q18="R",$R18="NO",$T18="M",$M18&gt;=200,$M18&lt;=250)=TRUE,$K18,"-")</f>
        <v>-</v>
      </c>
      <c r="BU18" s="52" t="str">
        <f t="shared" ref="BU18:BU49" si="187">IF(AND(3.5&lt;$H18,$H18&lt;=4,$Q18="P",$R18="NO",$T18="M",$M18&gt;=200,$M18&lt;=250)=TRUE,$K18,"-")</f>
        <v>-</v>
      </c>
      <c r="BV18" s="52" t="str">
        <f t="shared" ref="BV18:BV49" si="188">IF(AND(5&lt;$H18,$H18&lt;=6,$Q18="R",$R18="NO",$T18="M",$M18&gt;=200,$M18&lt;=250)=TRUE,$K18,"-")</f>
        <v>-</v>
      </c>
      <c r="BW18" s="53" t="str">
        <f t="shared" ref="BW18:BW49" si="189">IF(AND(5&lt;$H18,$H18&lt;=6,$Q18="P",$R18="NO",$T18="M",$M18&gt;=200,$M18&lt;=250)=TRUE,$K18,"-")</f>
        <v>-</v>
      </c>
      <c r="BX18" s="51" t="str">
        <f t="shared" ref="BX18:BX49" si="190">IF(AND($H18&lt;=1.25,$Q18="R",$R18="NO",$T18="M",$M18&gt;=300,$M18&lt;=350)=TRUE,$K18,"-")</f>
        <v>-</v>
      </c>
      <c r="BY18" s="52" t="str">
        <f t="shared" ref="BY18:BY49" si="191">IF(AND($H18&lt;=1.25,$Q18="P",$R18="NO",$T18="M",$M18&gt;=300,$M18&lt;=350)=TRUE,$K18,"-")</f>
        <v>-</v>
      </c>
      <c r="BZ18" s="52" t="str">
        <f t="shared" ref="BZ18:BZ49" si="192">IF(AND(1.25&lt;$H18,$H18&lt;=1.5,$Q18="R",$R18="NO",$T18="M",$M18&gt;=300,$M18&lt;=350)=TRUE,$K18,"-")</f>
        <v>-</v>
      </c>
      <c r="CA18" s="52" t="str">
        <f t="shared" ref="CA18:CA49" si="193">IF(AND(1.25&lt;$H18,$H18&lt;=1.5,$Q18="P",$R18="NO",$T18="M",$M18&gt;=300,$M18&lt;=350)=TRUE,$K18,"-")</f>
        <v>-</v>
      </c>
      <c r="CB18" s="52" t="str">
        <f t="shared" ref="CB18:CB49" si="194">IF(AND(1.5&lt;$H18,$H18&lt;=1.75,$Q18="R",$R18="NO",$T18="M",$M18&gt;=300,$M18&lt;=350)=TRUE,$K18,"-")</f>
        <v>-</v>
      </c>
      <c r="CC18" s="52" t="str">
        <f t="shared" ref="CC18:CC49" si="195">IF(AND(1.5&lt;$H18,$H18&lt;=1.75,$Q18="P",$R18="NO",$T18="M",$M18&gt;=300,$M18&lt;=350)=TRUE,$K18,"-")</f>
        <v>-</v>
      </c>
      <c r="CD18" s="52" t="str">
        <f t="shared" ref="CD18:CD49" si="196">IF(AND(1.75&lt;$H18,$H18&lt;=2,$Q18="R",$R18="NO",$T18="M",$M18&gt;=300,$M18&lt;=350)=TRUE,$K18,"-")</f>
        <v>-</v>
      </c>
      <c r="CE18" s="52" t="str">
        <f t="shared" ref="CE18:CE49" si="197">IF(AND(1.75&lt;$H18,$H18&lt;=2,$Q18="P",$R18="NO",$T18="M",$M18&gt;=300,$M18&lt;=350)=TRUE,$K18,"-")</f>
        <v>-</v>
      </c>
      <c r="CF18" s="52" t="str">
        <f t="shared" ref="CF18:CF49" si="198">IF(AND(2&lt;$H18,$H18&lt;=2.5,$Q18="R",$R18="NO",$T18="M",$M18&gt;=300,$M18&lt;=350)=TRUE,$K18,"-")</f>
        <v>-</v>
      </c>
      <c r="CG18" s="52" t="str">
        <f t="shared" ref="CG18:CG49" si="199">IF(AND(2&lt;$H18,$H18&lt;=2.5,$Q18="P",$R18="NO",$T18="M",$M18&gt;=300,$M18&lt;=350)=TRUE,$K18,"-")</f>
        <v>-</v>
      </c>
      <c r="CH18" s="52" t="str">
        <f t="shared" ref="CH18:CH49" si="200">IF(AND(2.5&lt;$H18,$H18&lt;=3,$Q18="R",$R18="NO",$T18="M",$M18&gt;=300,$M18&lt;=350)=TRUE,$K18,"-")</f>
        <v>-</v>
      </c>
      <c r="CI18" s="52" t="str">
        <f t="shared" ref="CI18:CI49" si="201">IF(AND(2.5&lt;$H18,$H18&lt;=3,$Q18="P",$R18="NO",$T18="M",$M18&gt;=300,$M18&lt;=350)=TRUE,$K18,"-")</f>
        <v>-</v>
      </c>
      <c r="CJ18" s="52" t="str">
        <f t="shared" ref="CJ18:CJ49" si="202">IF(AND(3&lt;$H18,$H18&lt;=3.5,$Q18="R",$R18="NO",$T18="M",$M18&gt;=300,$M18&lt;=350)=TRUE,$K18,"-")</f>
        <v>-</v>
      </c>
      <c r="CK18" s="52" t="str">
        <f t="shared" ref="CK18:CK49" si="203">IF(AND(3&lt;$H18,$H18&lt;=3.5,$Q18="P",$R18="NO",$T18="M",$M18&gt;=300,$M18&lt;=350)=TRUE,$K18,"-")</f>
        <v>-</v>
      </c>
      <c r="CL18" s="52" t="str">
        <f t="shared" ref="CL18:CL49" si="204">IF(AND(3.5&lt;$H18,$H18&lt;=4,$Q18="R",$R18="NO",$T18="M",$M18&gt;=300,$M18&lt;=350)=TRUE,$K18,"-")</f>
        <v>-</v>
      </c>
      <c r="CM18" s="52" t="str">
        <f t="shared" ref="CM18:CM49" si="205">IF(AND(3.5&lt;$H18,$H18&lt;=4,$Q18="P",$R18="NO",$T18="M",$M18&gt;=300,$M18&lt;=350)=TRUE,$K18,"-")</f>
        <v>-</v>
      </c>
      <c r="CN18" s="52" t="str">
        <f t="shared" ref="CN18:CN49" si="206">IF(AND(5&lt;$H18,$H18&lt;=6,$Q18="R",$R18="NO",$T18="M",$M18&gt;=300,$M18&lt;=350)=TRUE,$K18,"-")</f>
        <v>-</v>
      </c>
      <c r="CO18" s="53" t="str">
        <f t="shared" ref="CO18:CO49" si="207">IF(AND(5&lt;$H18,$H18&lt;=6,$Q18="P",$R18="NO",$T18="M",$M18&gt;=300,$M18&lt;=350)=TRUE,$K18,"-")</f>
        <v>-</v>
      </c>
      <c r="CQ18" s="305" t="str">
        <f t="shared" si="126"/>
        <v>-</v>
      </c>
      <c r="CR18" s="305">
        <f t="shared" si="127"/>
        <v>12.66</v>
      </c>
      <c r="CS18" s="305" t="str">
        <f t="shared" si="128"/>
        <v>-</v>
      </c>
      <c r="CT18" s="305" t="str">
        <f t="shared" si="129"/>
        <v>-</v>
      </c>
      <c r="CU18" s="305" t="str">
        <f t="shared" si="130"/>
        <v>-</v>
      </c>
      <c r="CV18" s="305" t="str">
        <f t="shared" si="131"/>
        <v>-</v>
      </c>
      <c r="CX18" s="51">
        <f t="shared" si="72"/>
        <v>11.47</v>
      </c>
      <c r="CY18" s="52" t="str">
        <f t="shared" si="73"/>
        <v>-</v>
      </c>
      <c r="CZ18" s="53" t="str">
        <f t="shared" si="74"/>
        <v>-</v>
      </c>
      <c r="DA18" s="51" t="str">
        <f t="shared" si="75"/>
        <v>-</v>
      </c>
      <c r="DB18" s="52" t="str">
        <f t="shared" si="76"/>
        <v>-</v>
      </c>
      <c r="DC18" s="53" t="str">
        <f t="shared" si="77"/>
        <v>-</v>
      </c>
      <c r="DD18" s="57"/>
      <c r="DE18" s="106" t="str">
        <f t="shared" si="78"/>
        <v>-</v>
      </c>
      <c r="DF18" s="107" t="str">
        <f t="shared" si="79"/>
        <v>-</v>
      </c>
      <c r="DG18" s="107" t="str">
        <f t="shared" si="80"/>
        <v>-</v>
      </c>
      <c r="DH18" s="107">
        <f t="shared" si="81"/>
        <v>11.47</v>
      </c>
      <c r="DI18" s="107" t="str">
        <f t="shared" si="82"/>
        <v>-</v>
      </c>
      <c r="DJ18" s="107" t="str">
        <f t="shared" si="83"/>
        <v>-</v>
      </c>
      <c r="DK18" s="107" t="str">
        <f t="shared" si="84"/>
        <v>-</v>
      </c>
      <c r="DL18" s="107" t="str">
        <f t="shared" si="85"/>
        <v>-</v>
      </c>
      <c r="DM18" s="108" t="str">
        <f t="shared" si="86"/>
        <v>-</v>
      </c>
      <c r="DO18" s="106" t="str">
        <f t="shared" si="87"/>
        <v>-</v>
      </c>
      <c r="DP18" s="107" t="str">
        <f t="shared" si="88"/>
        <v>-</v>
      </c>
      <c r="DQ18" s="107" t="str">
        <f t="shared" si="89"/>
        <v>-</v>
      </c>
      <c r="DR18" s="107">
        <f t="shared" si="90"/>
        <v>11.47</v>
      </c>
      <c r="DS18" s="107" t="str">
        <f t="shared" si="91"/>
        <v>-</v>
      </c>
      <c r="DT18" s="107" t="str">
        <f t="shared" si="92"/>
        <v>-</v>
      </c>
      <c r="DU18" s="107" t="str">
        <f t="shared" si="93"/>
        <v>-</v>
      </c>
      <c r="DV18" s="107" t="str">
        <f t="shared" si="94"/>
        <v>-</v>
      </c>
      <c r="DW18" s="108" t="str">
        <f t="shared" si="95"/>
        <v>-</v>
      </c>
      <c r="DX18" s="109" t="str">
        <f t="shared" si="96"/>
        <v>-</v>
      </c>
      <c r="DY18" s="110" t="str">
        <f t="shared" si="97"/>
        <v>-</v>
      </c>
      <c r="DZ18" s="110" t="str">
        <f t="shared" si="98"/>
        <v>-</v>
      </c>
      <c r="EA18" s="110" t="str">
        <f t="shared" si="99"/>
        <v>-</v>
      </c>
      <c r="EB18" s="110" t="str">
        <f t="shared" si="100"/>
        <v>-</v>
      </c>
      <c r="EC18" s="110" t="str">
        <f t="shared" si="101"/>
        <v>-</v>
      </c>
      <c r="ED18" s="110" t="str">
        <f t="shared" si="102"/>
        <v>-</v>
      </c>
      <c r="EE18" s="110" t="str">
        <f t="shared" si="103"/>
        <v>-</v>
      </c>
      <c r="EF18" s="111" t="str">
        <f t="shared" si="104"/>
        <v>-</v>
      </c>
      <c r="EG18" s="109" t="str">
        <f t="shared" si="105"/>
        <v>-</v>
      </c>
      <c r="EH18" s="110" t="str">
        <f t="shared" si="106"/>
        <v>-</v>
      </c>
      <c r="EI18" s="110" t="str">
        <f t="shared" si="107"/>
        <v>-</v>
      </c>
      <c r="EJ18" s="110" t="str">
        <f t="shared" si="108"/>
        <v>-</v>
      </c>
      <c r="EK18" s="110" t="str">
        <f t="shared" si="109"/>
        <v>-</v>
      </c>
      <c r="EL18" s="110" t="str">
        <f t="shared" si="110"/>
        <v>-</v>
      </c>
      <c r="EM18" s="110" t="str">
        <f t="shared" si="111"/>
        <v>-</v>
      </c>
      <c r="EN18" s="110" t="str">
        <f t="shared" si="112"/>
        <v>-</v>
      </c>
      <c r="EO18" s="111" t="str">
        <f t="shared" si="113"/>
        <v>-</v>
      </c>
      <c r="EQ18" s="118">
        <f t="shared" si="114"/>
        <v>11.47</v>
      </c>
      <c r="ER18" s="119" t="str">
        <f t="shared" si="115"/>
        <v>-</v>
      </c>
      <c r="ES18" s="120" t="str">
        <f t="shared" si="116"/>
        <v>-</v>
      </c>
      <c r="ET18" s="90">
        <v>2</v>
      </c>
      <c r="EU18" s="118">
        <f t="shared" si="117"/>
        <v>2</v>
      </c>
      <c r="EV18" s="119" t="str">
        <f t="shared" si="118"/>
        <v>-</v>
      </c>
      <c r="EW18" s="120" t="str">
        <f t="shared" si="119"/>
        <v>-</v>
      </c>
    </row>
    <row r="19" spans="1:153" ht="15.75" thickBot="1" x14ac:dyDescent="0.3">
      <c r="A19" s="41"/>
      <c r="B19" s="171" t="s">
        <v>453</v>
      </c>
      <c r="C19" s="171" t="s">
        <v>454</v>
      </c>
      <c r="D19" s="42">
        <f>VLOOKUP(B19,'BASE DE DATOS'!$B$3:$E$106,2,FALSE)</f>
        <v>35.85</v>
      </c>
      <c r="E19" s="42">
        <f>VLOOKUP(B19,'BASE DE DATOS'!$B$3:$E$106,4,FALSE)</f>
        <v>1.5300000000000011</v>
      </c>
      <c r="F19" s="42">
        <f>VLOOKUP(C19,'BASE DE DATOS'!$B$3:$E$106,2,FALSE)</f>
        <v>35.54</v>
      </c>
      <c r="G19" s="42">
        <f>VLOOKUP(C19,'BASE DE DATOS'!$B$3:$E$106,4,FALSE)</f>
        <v>2.0899999999999963</v>
      </c>
      <c r="H19" s="43">
        <f t="shared" si="135"/>
        <v>1.8099999999999987</v>
      </c>
      <c r="I19" s="171">
        <v>42.58</v>
      </c>
      <c r="J19" s="44">
        <f t="shared" si="132"/>
        <v>42.58</v>
      </c>
      <c r="K19" s="40">
        <f t="shared" si="133"/>
        <v>40.99</v>
      </c>
      <c r="L19" s="40">
        <f t="shared" si="134"/>
        <v>41.39</v>
      </c>
      <c r="M19" s="44">
        <f t="shared" si="124"/>
        <v>200</v>
      </c>
      <c r="N19" s="40">
        <f t="shared" si="125"/>
        <v>42.58</v>
      </c>
      <c r="O19" s="171" t="s">
        <v>120</v>
      </c>
      <c r="P19" s="19">
        <v>187.6</v>
      </c>
      <c r="Q19" s="171" t="s">
        <v>122</v>
      </c>
      <c r="R19" s="171" t="s">
        <v>133</v>
      </c>
      <c r="S19" s="171" t="s">
        <v>148</v>
      </c>
      <c r="T19" s="171" t="s">
        <v>149</v>
      </c>
      <c r="V19" s="51" t="str">
        <f t="shared" si="136"/>
        <v>-</v>
      </c>
      <c r="W19" s="52" t="str">
        <f t="shared" si="137"/>
        <v>-</v>
      </c>
      <c r="X19" s="52" t="str">
        <f t="shared" si="138"/>
        <v>-</v>
      </c>
      <c r="Y19" s="52" t="str">
        <f t="shared" si="139"/>
        <v>-</v>
      </c>
      <c r="Z19" s="52" t="str">
        <f t="shared" si="140"/>
        <v>-</v>
      </c>
      <c r="AA19" s="52" t="str">
        <f t="shared" si="141"/>
        <v>-</v>
      </c>
      <c r="AB19" s="52" t="str">
        <f t="shared" si="142"/>
        <v>-</v>
      </c>
      <c r="AC19" s="52" t="str">
        <f t="shared" si="143"/>
        <v>-</v>
      </c>
      <c r="AD19" s="52" t="str">
        <f t="shared" si="144"/>
        <v>-</v>
      </c>
      <c r="AE19" s="52" t="str">
        <f t="shared" si="145"/>
        <v>-</v>
      </c>
      <c r="AF19" s="52" t="str">
        <f t="shared" si="146"/>
        <v>-</v>
      </c>
      <c r="AG19" s="52" t="str">
        <f t="shared" si="147"/>
        <v>-</v>
      </c>
      <c r="AH19" s="52" t="str">
        <f t="shared" si="148"/>
        <v>-</v>
      </c>
      <c r="AI19" s="52" t="str">
        <f t="shared" si="149"/>
        <v>-</v>
      </c>
      <c r="AJ19" s="52" t="str">
        <f t="shared" si="150"/>
        <v>-</v>
      </c>
      <c r="AK19" s="52" t="str">
        <f t="shared" si="151"/>
        <v>-</v>
      </c>
      <c r="AL19" s="52" t="str">
        <f t="shared" si="152"/>
        <v>-</v>
      </c>
      <c r="AM19" s="53" t="str">
        <f t="shared" si="153"/>
        <v>-</v>
      </c>
      <c r="AN19" s="51" t="str">
        <f t="shared" si="154"/>
        <v>-</v>
      </c>
      <c r="AO19" s="52" t="str">
        <f t="shared" si="155"/>
        <v>-</v>
      </c>
      <c r="AP19" s="52" t="str">
        <f t="shared" si="156"/>
        <v>-</v>
      </c>
      <c r="AQ19" s="52" t="str">
        <f t="shared" si="157"/>
        <v>-</v>
      </c>
      <c r="AR19" s="52" t="str">
        <f t="shared" si="158"/>
        <v>-</v>
      </c>
      <c r="AS19" s="52" t="str">
        <f t="shared" si="159"/>
        <v>-</v>
      </c>
      <c r="AT19" s="52" t="str">
        <f t="shared" si="160"/>
        <v>-</v>
      </c>
      <c r="AU19" s="52" t="str">
        <f t="shared" si="161"/>
        <v>-</v>
      </c>
      <c r="AV19" s="52" t="str">
        <f t="shared" si="162"/>
        <v>-</v>
      </c>
      <c r="AW19" s="52" t="str">
        <f t="shared" si="163"/>
        <v>-</v>
      </c>
      <c r="AX19" s="52" t="str">
        <f t="shared" si="164"/>
        <v>-</v>
      </c>
      <c r="AY19" s="52" t="str">
        <f t="shared" si="165"/>
        <v>-</v>
      </c>
      <c r="AZ19" s="52" t="str">
        <f t="shared" si="166"/>
        <v>-</v>
      </c>
      <c r="BA19" s="52" t="str">
        <f t="shared" si="167"/>
        <v>-</v>
      </c>
      <c r="BB19" s="52" t="str">
        <f t="shared" si="168"/>
        <v>-</v>
      </c>
      <c r="BC19" s="52" t="str">
        <f t="shared" si="169"/>
        <v>-</v>
      </c>
      <c r="BD19" s="52" t="str">
        <f t="shared" si="170"/>
        <v>-</v>
      </c>
      <c r="BE19" s="53" t="str">
        <f t="shared" si="171"/>
        <v>-</v>
      </c>
      <c r="BF19" s="51" t="str">
        <f t="shared" si="172"/>
        <v>-</v>
      </c>
      <c r="BG19" s="52" t="str">
        <f t="shared" si="173"/>
        <v>-</v>
      </c>
      <c r="BH19" s="52" t="str">
        <f t="shared" si="174"/>
        <v>-</v>
      </c>
      <c r="BI19" s="52" t="str">
        <f t="shared" si="175"/>
        <v>-</v>
      </c>
      <c r="BJ19" s="52" t="str">
        <f t="shared" si="176"/>
        <v>-</v>
      </c>
      <c r="BK19" s="52" t="str">
        <f t="shared" si="177"/>
        <v>-</v>
      </c>
      <c r="BL19" s="52">
        <f t="shared" si="178"/>
        <v>40.99</v>
      </c>
      <c r="BM19" s="52" t="str">
        <f t="shared" si="179"/>
        <v>-</v>
      </c>
      <c r="BN19" s="52" t="str">
        <f t="shared" si="180"/>
        <v>-</v>
      </c>
      <c r="BO19" s="52" t="str">
        <f t="shared" si="181"/>
        <v>-</v>
      </c>
      <c r="BP19" s="52" t="str">
        <f t="shared" si="182"/>
        <v>-</v>
      </c>
      <c r="BQ19" s="52" t="str">
        <f t="shared" si="183"/>
        <v>-</v>
      </c>
      <c r="BR19" s="52" t="str">
        <f t="shared" si="184"/>
        <v>-</v>
      </c>
      <c r="BS19" s="52" t="str">
        <f t="shared" si="185"/>
        <v>-</v>
      </c>
      <c r="BT19" s="52" t="str">
        <f t="shared" si="186"/>
        <v>-</v>
      </c>
      <c r="BU19" s="52" t="str">
        <f t="shared" si="187"/>
        <v>-</v>
      </c>
      <c r="BV19" s="52" t="str">
        <f t="shared" si="188"/>
        <v>-</v>
      </c>
      <c r="BW19" s="53" t="str">
        <f t="shared" si="189"/>
        <v>-</v>
      </c>
      <c r="BX19" s="51" t="str">
        <f t="shared" si="190"/>
        <v>-</v>
      </c>
      <c r="BY19" s="52" t="str">
        <f t="shared" si="191"/>
        <v>-</v>
      </c>
      <c r="BZ19" s="52" t="str">
        <f t="shared" si="192"/>
        <v>-</v>
      </c>
      <c r="CA19" s="52" t="str">
        <f t="shared" si="193"/>
        <v>-</v>
      </c>
      <c r="CB19" s="52" t="str">
        <f t="shared" si="194"/>
        <v>-</v>
      </c>
      <c r="CC19" s="52" t="str">
        <f t="shared" si="195"/>
        <v>-</v>
      </c>
      <c r="CD19" s="52" t="str">
        <f t="shared" si="196"/>
        <v>-</v>
      </c>
      <c r="CE19" s="52" t="str">
        <f t="shared" si="197"/>
        <v>-</v>
      </c>
      <c r="CF19" s="52" t="str">
        <f t="shared" si="198"/>
        <v>-</v>
      </c>
      <c r="CG19" s="52" t="str">
        <f t="shared" si="199"/>
        <v>-</v>
      </c>
      <c r="CH19" s="52" t="str">
        <f t="shared" si="200"/>
        <v>-</v>
      </c>
      <c r="CI19" s="52" t="str">
        <f t="shared" si="201"/>
        <v>-</v>
      </c>
      <c r="CJ19" s="52" t="str">
        <f t="shared" si="202"/>
        <v>-</v>
      </c>
      <c r="CK19" s="52" t="str">
        <f t="shared" si="203"/>
        <v>-</v>
      </c>
      <c r="CL19" s="52" t="str">
        <f t="shared" si="204"/>
        <v>-</v>
      </c>
      <c r="CM19" s="52" t="str">
        <f t="shared" si="205"/>
        <v>-</v>
      </c>
      <c r="CN19" s="52" t="str">
        <f t="shared" si="206"/>
        <v>-</v>
      </c>
      <c r="CO19" s="53" t="str">
        <f t="shared" si="207"/>
        <v>-</v>
      </c>
      <c r="CQ19" s="305" t="str">
        <f t="shared" si="126"/>
        <v>-</v>
      </c>
      <c r="CR19" s="305" t="str">
        <f t="shared" si="127"/>
        <v>-</v>
      </c>
      <c r="CS19" s="305" t="str">
        <f t="shared" si="128"/>
        <v>-</v>
      </c>
      <c r="CT19" s="305">
        <f t="shared" si="129"/>
        <v>42.58</v>
      </c>
      <c r="CU19" s="305" t="str">
        <f t="shared" si="130"/>
        <v>-</v>
      </c>
      <c r="CV19" s="305" t="str">
        <f t="shared" si="131"/>
        <v>-</v>
      </c>
      <c r="CX19" s="51">
        <f t="shared" si="72"/>
        <v>41.39</v>
      </c>
      <c r="CY19" s="52" t="str">
        <f t="shared" si="73"/>
        <v>-</v>
      </c>
      <c r="CZ19" s="53" t="str">
        <f t="shared" si="74"/>
        <v>-</v>
      </c>
      <c r="DA19" s="51" t="str">
        <f t="shared" si="75"/>
        <v>-</v>
      </c>
      <c r="DB19" s="52" t="str">
        <f t="shared" si="76"/>
        <v>-</v>
      </c>
      <c r="DC19" s="53" t="str">
        <f t="shared" si="77"/>
        <v>-</v>
      </c>
      <c r="DD19" s="57"/>
      <c r="DE19" s="106" t="str">
        <f t="shared" si="78"/>
        <v>-</v>
      </c>
      <c r="DF19" s="107" t="str">
        <f t="shared" si="79"/>
        <v>-</v>
      </c>
      <c r="DG19" s="107" t="str">
        <f t="shared" si="80"/>
        <v>-</v>
      </c>
      <c r="DH19" s="107">
        <f t="shared" si="81"/>
        <v>41.39</v>
      </c>
      <c r="DI19" s="107" t="str">
        <f t="shared" si="82"/>
        <v>-</v>
      </c>
      <c r="DJ19" s="107" t="str">
        <f t="shared" si="83"/>
        <v>-</v>
      </c>
      <c r="DK19" s="107" t="str">
        <f t="shared" si="84"/>
        <v>-</v>
      </c>
      <c r="DL19" s="107" t="str">
        <f t="shared" si="85"/>
        <v>-</v>
      </c>
      <c r="DM19" s="108" t="str">
        <f t="shared" si="86"/>
        <v>-</v>
      </c>
      <c r="DO19" s="106" t="str">
        <f t="shared" si="87"/>
        <v>-</v>
      </c>
      <c r="DP19" s="107" t="str">
        <f t="shared" si="88"/>
        <v>-</v>
      </c>
      <c r="DQ19" s="107" t="str">
        <f t="shared" si="89"/>
        <v>-</v>
      </c>
      <c r="DR19" s="107">
        <f t="shared" si="90"/>
        <v>41.39</v>
      </c>
      <c r="DS19" s="107" t="str">
        <f t="shared" si="91"/>
        <v>-</v>
      </c>
      <c r="DT19" s="107" t="str">
        <f t="shared" si="92"/>
        <v>-</v>
      </c>
      <c r="DU19" s="107" t="str">
        <f t="shared" si="93"/>
        <v>-</v>
      </c>
      <c r="DV19" s="107" t="str">
        <f t="shared" si="94"/>
        <v>-</v>
      </c>
      <c r="DW19" s="108" t="str">
        <f t="shared" si="95"/>
        <v>-</v>
      </c>
      <c r="DX19" s="109" t="str">
        <f t="shared" si="96"/>
        <v>-</v>
      </c>
      <c r="DY19" s="110" t="str">
        <f t="shared" si="97"/>
        <v>-</v>
      </c>
      <c r="DZ19" s="110" t="str">
        <f t="shared" si="98"/>
        <v>-</v>
      </c>
      <c r="EA19" s="110" t="str">
        <f t="shared" si="99"/>
        <v>-</v>
      </c>
      <c r="EB19" s="110" t="str">
        <f t="shared" si="100"/>
        <v>-</v>
      </c>
      <c r="EC19" s="110" t="str">
        <f t="shared" si="101"/>
        <v>-</v>
      </c>
      <c r="ED19" s="110" t="str">
        <f t="shared" si="102"/>
        <v>-</v>
      </c>
      <c r="EE19" s="110" t="str">
        <f t="shared" si="103"/>
        <v>-</v>
      </c>
      <c r="EF19" s="111" t="str">
        <f t="shared" si="104"/>
        <v>-</v>
      </c>
      <c r="EG19" s="109" t="str">
        <f t="shared" si="105"/>
        <v>-</v>
      </c>
      <c r="EH19" s="110" t="str">
        <f t="shared" si="106"/>
        <v>-</v>
      </c>
      <c r="EI19" s="110" t="str">
        <f t="shared" si="107"/>
        <v>-</v>
      </c>
      <c r="EJ19" s="110" t="str">
        <f t="shared" si="108"/>
        <v>-</v>
      </c>
      <c r="EK19" s="110" t="str">
        <f t="shared" si="109"/>
        <v>-</v>
      </c>
      <c r="EL19" s="110" t="str">
        <f t="shared" si="110"/>
        <v>-</v>
      </c>
      <c r="EM19" s="110" t="str">
        <f t="shared" si="111"/>
        <v>-</v>
      </c>
      <c r="EN19" s="110" t="str">
        <f t="shared" si="112"/>
        <v>-</v>
      </c>
      <c r="EO19" s="111" t="str">
        <f t="shared" si="113"/>
        <v>-</v>
      </c>
      <c r="EQ19" s="118">
        <f t="shared" si="114"/>
        <v>41.39</v>
      </c>
      <c r="ER19" s="119" t="str">
        <f t="shared" si="115"/>
        <v>-</v>
      </c>
      <c r="ES19" s="120" t="str">
        <f t="shared" si="116"/>
        <v>-</v>
      </c>
      <c r="ET19" s="90">
        <v>2</v>
      </c>
      <c r="EU19" s="118">
        <f t="shared" si="117"/>
        <v>2</v>
      </c>
      <c r="EV19" s="119" t="str">
        <f t="shared" si="118"/>
        <v>-</v>
      </c>
      <c r="EW19" s="120" t="str">
        <f t="shared" si="119"/>
        <v>-</v>
      </c>
    </row>
    <row r="20" spans="1:153" ht="15.75" thickBot="1" x14ac:dyDescent="0.3">
      <c r="A20" s="41"/>
      <c r="B20" s="171" t="s">
        <v>454</v>
      </c>
      <c r="C20" s="171" t="s">
        <v>471</v>
      </c>
      <c r="D20" s="42">
        <f>VLOOKUP(B20,'BASE DE DATOS'!$B$3:$E$106,2,FALSE)</f>
        <v>35.54</v>
      </c>
      <c r="E20" s="42">
        <f>VLOOKUP(B20,'BASE DE DATOS'!$B$3:$E$106,4,FALSE)</f>
        <v>2.0899999999999963</v>
      </c>
      <c r="F20" s="42">
        <f>VLOOKUP(C20,'BASE DE DATOS'!$B$3:$E$106,2,FALSE)</f>
        <v>34.51</v>
      </c>
      <c r="G20" s="42">
        <f>VLOOKUP(C20,'BASE DE DATOS'!$B$3:$E$106,4,FALSE)</f>
        <v>1.6199999999999974</v>
      </c>
      <c r="H20" s="43">
        <f t="shared" si="135"/>
        <v>1.8549999999999969</v>
      </c>
      <c r="I20" s="171">
        <v>70.13</v>
      </c>
      <c r="J20" s="44">
        <f t="shared" si="132"/>
        <v>70.13</v>
      </c>
      <c r="K20" s="40">
        <f t="shared" si="133"/>
        <v>68.53</v>
      </c>
      <c r="L20" s="40">
        <f t="shared" si="134"/>
        <v>68.930000000000007</v>
      </c>
      <c r="M20" s="44">
        <f t="shared" si="124"/>
        <v>200</v>
      </c>
      <c r="N20" s="40">
        <f t="shared" si="125"/>
        <v>70.14</v>
      </c>
      <c r="O20" s="171" t="s">
        <v>120</v>
      </c>
      <c r="P20" s="19">
        <v>187.6</v>
      </c>
      <c r="Q20" s="171" t="s">
        <v>122</v>
      </c>
      <c r="R20" s="171" t="s">
        <v>133</v>
      </c>
      <c r="S20" s="171" t="s">
        <v>148</v>
      </c>
      <c r="T20" s="171" t="s">
        <v>149</v>
      </c>
      <c r="V20" s="51" t="str">
        <f t="shared" si="136"/>
        <v>-</v>
      </c>
      <c r="W20" s="52" t="str">
        <f t="shared" si="137"/>
        <v>-</v>
      </c>
      <c r="X20" s="52" t="str">
        <f t="shared" si="138"/>
        <v>-</v>
      </c>
      <c r="Y20" s="52" t="str">
        <f t="shared" si="139"/>
        <v>-</v>
      </c>
      <c r="Z20" s="52" t="str">
        <f t="shared" si="140"/>
        <v>-</v>
      </c>
      <c r="AA20" s="52" t="str">
        <f t="shared" si="141"/>
        <v>-</v>
      </c>
      <c r="AB20" s="52" t="str">
        <f t="shared" si="142"/>
        <v>-</v>
      </c>
      <c r="AC20" s="52" t="str">
        <f t="shared" si="143"/>
        <v>-</v>
      </c>
      <c r="AD20" s="52" t="str">
        <f t="shared" si="144"/>
        <v>-</v>
      </c>
      <c r="AE20" s="52" t="str">
        <f t="shared" si="145"/>
        <v>-</v>
      </c>
      <c r="AF20" s="52" t="str">
        <f t="shared" si="146"/>
        <v>-</v>
      </c>
      <c r="AG20" s="52" t="str">
        <f t="shared" si="147"/>
        <v>-</v>
      </c>
      <c r="AH20" s="52" t="str">
        <f t="shared" si="148"/>
        <v>-</v>
      </c>
      <c r="AI20" s="52" t="str">
        <f t="shared" si="149"/>
        <v>-</v>
      </c>
      <c r="AJ20" s="52" t="str">
        <f t="shared" si="150"/>
        <v>-</v>
      </c>
      <c r="AK20" s="52" t="str">
        <f t="shared" si="151"/>
        <v>-</v>
      </c>
      <c r="AL20" s="52" t="str">
        <f t="shared" si="152"/>
        <v>-</v>
      </c>
      <c r="AM20" s="53" t="str">
        <f t="shared" si="153"/>
        <v>-</v>
      </c>
      <c r="AN20" s="51" t="str">
        <f t="shared" si="154"/>
        <v>-</v>
      </c>
      <c r="AO20" s="52" t="str">
        <f t="shared" si="155"/>
        <v>-</v>
      </c>
      <c r="AP20" s="52" t="str">
        <f t="shared" si="156"/>
        <v>-</v>
      </c>
      <c r="AQ20" s="52" t="str">
        <f t="shared" si="157"/>
        <v>-</v>
      </c>
      <c r="AR20" s="52" t="str">
        <f t="shared" si="158"/>
        <v>-</v>
      </c>
      <c r="AS20" s="52" t="str">
        <f t="shared" si="159"/>
        <v>-</v>
      </c>
      <c r="AT20" s="52" t="str">
        <f t="shared" si="160"/>
        <v>-</v>
      </c>
      <c r="AU20" s="52" t="str">
        <f t="shared" si="161"/>
        <v>-</v>
      </c>
      <c r="AV20" s="52" t="str">
        <f t="shared" si="162"/>
        <v>-</v>
      </c>
      <c r="AW20" s="52" t="str">
        <f t="shared" si="163"/>
        <v>-</v>
      </c>
      <c r="AX20" s="52" t="str">
        <f t="shared" si="164"/>
        <v>-</v>
      </c>
      <c r="AY20" s="52" t="str">
        <f t="shared" si="165"/>
        <v>-</v>
      </c>
      <c r="AZ20" s="52" t="str">
        <f t="shared" si="166"/>
        <v>-</v>
      </c>
      <c r="BA20" s="52" t="str">
        <f t="shared" si="167"/>
        <v>-</v>
      </c>
      <c r="BB20" s="52" t="str">
        <f t="shared" si="168"/>
        <v>-</v>
      </c>
      <c r="BC20" s="52" t="str">
        <f t="shared" si="169"/>
        <v>-</v>
      </c>
      <c r="BD20" s="52" t="str">
        <f t="shared" si="170"/>
        <v>-</v>
      </c>
      <c r="BE20" s="53" t="str">
        <f t="shared" si="171"/>
        <v>-</v>
      </c>
      <c r="BF20" s="51" t="str">
        <f t="shared" si="172"/>
        <v>-</v>
      </c>
      <c r="BG20" s="52" t="str">
        <f t="shared" si="173"/>
        <v>-</v>
      </c>
      <c r="BH20" s="52" t="str">
        <f t="shared" si="174"/>
        <v>-</v>
      </c>
      <c r="BI20" s="52" t="str">
        <f t="shared" si="175"/>
        <v>-</v>
      </c>
      <c r="BJ20" s="52" t="str">
        <f t="shared" si="176"/>
        <v>-</v>
      </c>
      <c r="BK20" s="52" t="str">
        <f t="shared" si="177"/>
        <v>-</v>
      </c>
      <c r="BL20" s="52">
        <f t="shared" si="178"/>
        <v>68.53</v>
      </c>
      <c r="BM20" s="52" t="str">
        <f t="shared" si="179"/>
        <v>-</v>
      </c>
      <c r="BN20" s="52" t="str">
        <f t="shared" si="180"/>
        <v>-</v>
      </c>
      <c r="BO20" s="52" t="str">
        <f t="shared" si="181"/>
        <v>-</v>
      </c>
      <c r="BP20" s="52" t="str">
        <f t="shared" si="182"/>
        <v>-</v>
      </c>
      <c r="BQ20" s="52" t="str">
        <f t="shared" si="183"/>
        <v>-</v>
      </c>
      <c r="BR20" s="52" t="str">
        <f t="shared" si="184"/>
        <v>-</v>
      </c>
      <c r="BS20" s="52" t="str">
        <f t="shared" si="185"/>
        <v>-</v>
      </c>
      <c r="BT20" s="52" t="str">
        <f t="shared" si="186"/>
        <v>-</v>
      </c>
      <c r="BU20" s="52" t="str">
        <f t="shared" si="187"/>
        <v>-</v>
      </c>
      <c r="BV20" s="52" t="str">
        <f t="shared" si="188"/>
        <v>-</v>
      </c>
      <c r="BW20" s="53" t="str">
        <f t="shared" si="189"/>
        <v>-</v>
      </c>
      <c r="BX20" s="51" t="str">
        <f t="shared" si="190"/>
        <v>-</v>
      </c>
      <c r="BY20" s="52" t="str">
        <f t="shared" si="191"/>
        <v>-</v>
      </c>
      <c r="BZ20" s="52" t="str">
        <f t="shared" si="192"/>
        <v>-</v>
      </c>
      <c r="CA20" s="52" t="str">
        <f t="shared" si="193"/>
        <v>-</v>
      </c>
      <c r="CB20" s="52" t="str">
        <f t="shared" si="194"/>
        <v>-</v>
      </c>
      <c r="CC20" s="52" t="str">
        <f t="shared" si="195"/>
        <v>-</v>
      </c>
      <c r="CD20" s="52" t="str">
        <f t="shared" si="196"/>
        <v>-</v>
      </c>
      <c r="CE20" s="52" t="str">
        <f t="shared" si="197"/>
        <v>-</v>
      </c>
      <c r="CF20" s="52" t="str">
        <f t="shared" si="198"/>
        <v>-</v>
      </c>
      <c r="CG20" s="52" t="str">
        <f t="shared" si="199"/>
        <v>-</v>
      </c>
      <c r="CH20" s="52" t="str">
        <f t="shared" si="200"/>
        <v>-</v>
      </c>
      <c r="CI20" s="52" t="str">
        <f t="shared" si="201"/>
        <v>-</v>
      </c>
      <c r="CJ20" s="52" t="str">
        <f t="shared" si="202"/>
        <v>-</v>
      </c>
      <c r="CK20" s="52" t="str">
        <f t="shared" si="203"/>
        <v>-</v>
      </c>
      <c r="CL20" s="52" t="str">
        <f t="shared" si="204"/>
        <v>-</v>
      </c>
      <c r="CM20" s="52" t="str">
        <f t="shared" si="205"/>
        <v>-</v>
      </c>
      <c r="CN20" s="52" t="str">
        <f t="shared" si="206"/>
        <v>-</v>
      </c>
      <c r="CO20" s="53" t="str">
        <f t="shared" si="207"/>
        <v>-</v>
      </c>
      <c r="CQ20" s="305" t="str">
        <f t="shared" si="126"/>
        <v>-</v>
      </c>
      <c r="CR20" s="305" t="str">
        <f t="shared" si="127"/>
        <v>-</v>
      </c>
      <c r="CS20" s="305" t="str">
        <f t="shared" si="128"/>
        <v>-</v>
      </c>
      <c r="CT20" s="305">
        <f t="shared" si="129"/>
        <v>70.14</v>
      </c>
      <c r="CU20" s="305" t="str">
        <f t="shared" si="130"/>
        <v>-</v>
      </c>
      <c r="CV20" s="305" t="str">
        <f t="shared" si="131"/>
        <v>-</v>
      </c>
      <c r="CX20" s="51">
        <f t="shared" si="72"/>
        <v>68.930000000000007</v>
      </c>
      <c r="CY20" s="52" t="str">
        <f t="shared" si="73"/>
        <v>-</v>
      </c>
      <c r="CZ20" s="53" t="str">
        <f t="shared" si="74"/>
        <v>-</v>
      </c>
      <c r="DA20" s="51" t="str">
        <f t="shared" si="75"/>
        <v>-</v>
      </c>
      <c r="DB20" s="52" t="str">
        <f t="shared" si="76"/>
        <v>-</v>
      </c>
      <c r="DC20" s="53" t="str">
        <f t="shared" si="77"/>
        <v>-</v>
      </c>
      <c r="DD20" s="57"/>
      <c r="DE20" s="106" t="str">
        <f t="shared" si="78"/>
        <v>-</v>
      </c>
      <c r="DF20" s="107" t="str">
        <f t="shared" si="79"/>
        <v>-</v>
      </c>
      <c r="DG20" s="107" t="str">
        <f t="shared" si="80"/>
        <v>-</v>
      </c>
      <c r="DH20" s="107">
        <f t="shared" si="81"/>
        <v>68.930000000000007</v>
      </c>
      <c r="DI20" s="107" t="str">
        <f t="shared" si="82"/>
        <v>-</v>
      </c>
      <c r="DJ20" s="107" t="str">
        <f t="shared" si="83"/>
        <v>-</v>
      </c>
      <c r="DK20" s="107" t="str">
        <f t="shared" si="84"/>
        <v>-</v>
      </c>
      <c r="DL20" s="107" t="str">
        <f t="shared" si="85"/>
        <v>-</v>
      </c>
      <c r="DM20" s="108" t="str">
        <f t="shared" si="86"/>
        <v>-</v>
      </c>
      <c r="DO20" s="106" t="str">
        <f t="shared" si="87"/>
        <v>-</v>
      </c>
      <c r="DP20" s="107" t="str">
        <f t="shared" si="88"/>
        <v>-</v>
      </c>
      <c r="DQ20" s="107" t="str">
        <f t="shared" si="89"/>
        <v>-</v>
      </c>
      <c r="DR20" s="107">
        <f t="shared" si="90"/>
        <v>68.930000000000007</v>
      </c>
      <c r="DS20" s="107" t="str">
        <f t="shared" si="91"/>
        <v>-</v>
      </c>
      <c r="DT20" s="107" t="str">
        <f t="shared" si="92"/>
        <v>-</v>
      </c>
      <c r="DU20" s="107" t="str">
        <f t="shared" si="93"/>
        <v>-</v>
      </c>
      <c r="DV20" s="107" t="str">
        <f t="shared" si="94"/>
        <v>-</v>
      </c>
      <c r="DW20" s="108" t="str">
        <f t="shared" si="95"/>
        <v>-</v>
      </c>
      <c r="DX20" s="109" t="str">
        <f t="shared" si="96"/>
        <v>-</v>
      </c>
      <c r="DY20" s="110" t="str">
        <f t="shared" si="97"/>
        <v>-</v>
      </c>
      <c r="DZ20" s="110" t="str">
        <f t="shared" si="98"/>
        <v>-</v>
      </c>
      <c r="EA20" s="110" t="str">
        <f t="shared" si="99"/>
        <v>-</v>
      </c>
      <c r="EB20" s="110" t="str">
        <f t="shared" si="100"/>
        <v>-</v>
      </c>
      <c r="EC20" s="110" t="str">
        <f t="shared" si="101"/>
        <v>-</v>
      </c>
      <c r="ED20" s="110" t="str">
        <f t="shared" si="102"/>
        <v>-</v>
      </c>
      <c r="EE20" s="110" t="str">
        <f t="shared" si="103"/>
        <v>-</v>
      </c>
      <c r="EF20" s="111" t="str">
        <f t="shared" si="104"/>
        <v>-</v>
      </c>
      <c r="EG20" s="109" t="str">
        <f t="shared" si="105"/>
        <v>-</v>
      </c>
      <c r="EH20" s="110" t="str">
        <f t="shared" si="106"/>
        <v>-</v>
      </c>
      <c r="EI20" s="110" t="str">
        <f t="shared" si="107"/>
        <v>-</v>
      </c>
      <c r="EJ20" s="110" t="str">
        <f t="shared" si="108"/>
        <v>-</v>
      </c>
      <c r="EK20" s="110" t="str">
        <f t="shared" si="109"/>
        <v>-</v>
      </c>
      <c r="EL20" s="110" t="str">
        <f t="shared" si="110"/>
        <v>-</v>
      </c>
      <c r="EM20" s="110" t="str">
        <f t="shared" si="111"/>
        <v>-</v>
      </c>
      <c r="EN20" s="110" t="str">
        <f t="shared" si="112"/>
        <v>-</v>
      </c>
      <c r="EO20" s="111" t="str">
        <f t="shared" si="113"/>
        <v>-</v>
      </c>
      <c r="EQ20" s="118">
        <f t="shared" si="114"/>
        <v>68.930000000000007</v>
      </c>
      <c r="ER20" s="119" t="str">
        <f t="shared" si="115"/>
        <v>-</v>
      </c>
      <c r="ES20" s="120" t="str">
        <f t="shared" si="116"/>
        <v>-</v>
      </c>
      <c r="ET20" s="90">
        <v>2</v>
      </c>
      <c r="EU20" s="118">
        <f t="shared" si="117"/>
        <v>2</v>
      </c>
      <c r="EV20" s="119" t="str">
        <f t="shared" si="118"/>
        <v>-</v>
      </c>
      <c r="EW20" s="120" t="str">
        <f t="shared" si="119"/>
        <v>-</v>
      </c>
    </row>
    <row r="21" spans="1:153" ht="15.75" thickBot="1" x14ac:dyDescent="0.3">
      <c r="A21" s="41"/>
      <c r="B21" s="171" t="s">
        <v>455</v>
      </c>
      <c r="C21" s="171" t="s">
        <v>456</v>
      </c>
      <c r="D21" s="42">
        <f>VLOOKUP(B21,'BASE DE DATOS'!$B$3:$E$106,2,FALSE)</f>
        <v>36.409999999999997</v>
      </c>
      <c r="E21" s="42">
        <f>VLOOKUP(B21,'BASE DE DATOS'!$B$3:$E$106,4,FALSE)</f>
        <v>1.7899999999999991</v>
      </c>
      <c r="F21" s="42">
        <f>VLOOKUP(C21,'BASE DE DATOS'!$B$3:$E$106,2,FALSE)</f>
        <v>35.909999999999997</v>
      </c>
      <c r="G21" s="42">
        <f>VLOOKUP(C21,'BASE DE DATOS'!$B$3:$E$106,4,FALSE)</f>
        <v>1.9199999999999946</v>
      </c>
      <c r="H21" s="43">
        <f t="shared" si="135"/>
        <v>1.8549999999999969</v>
      </c>
      <c r="I21" s="171">
        <v>50.31</v>
      </c>
      <c r="J21" s="44">
        <f t="shared" si="132"/>
        <v>50.31</v>
      </c>
      <c r="K21" s="40">
        <f t="shared" si="133"/>
        <v>48.71</v>
      </c>
      <c r="L21" s="40">
        <f t="shared" si="134"/>
        <v>49.11</v>
      </c>
      <c r="M21" s="44">
        <f t="shared" si="124"/>
        <v>200</v>
      </c>
      <c r="N21" s="40">
        <f t="shared" si="125"/>
        <v>50.31</v>
      </c>
      <c r="O21" s="171" t="s">
        <v>120</v>
      </c>
      <c r="P21" s="19">
        <v>187.6</v>
      </c>
      <c r="Q21" s="171" t="s">
        <v>122</v>
      </c>
      <c r="R21" s="171" t="s">
        <v>133</v>
      </c>
      <c r="S21" s="171" t="s">
        <v>148</v>
      </c>
      <c r="T21" s="171" t="s">
        <v>149</v>
      </c>
      <c r="V21" s="51" t="str">
        <f t="shared" si="136"/>
        <v>-</v>
      </c>
      <c r="W21" s="52" t="str">
        <f t="shared" si="137"/>
        <v>-</v>
      </c>
      <c r="X21" s="52" t="str">
        <f t="shared" si="138"/>
        <v>-</v>
      </c>
      <c r="Y21" s="52" t="str">
        <f t="shared" si="139"/>
        <v>-</v>
      </c>
      <c r="Z21" s="52" t="str">
        <f t="shared" si="140"/>
        <v>-</v>
      </c>
      <c r="AA21" s="52" t="str">
        <f t="shared" si="141"/>
        <v>-</v>
      </c>
      <c r="AB21" s="52" t="str">
        <f t="shared" si="142"/>
        <v>-</v>
      </c>
      <c r="AC21" s="52" t="str">
        <f t="shared" si="143"/>
        <v>-</v>
      </c>
      <c r="AD21" s="52" t="str">
        <f t="shared" si="144"/>
        <v>-</v>
      </c>
      <c r="AE21" s="52" t="str">
        <f t="shared" si="145"/>
        <v>-</v>
      </c>
      <c r="AF21" s="52" t="str">
        <f t="shared" si="146"/>
        <v>-</v>
      </c>
      <c r="AG21" s="52" t="str">
        <f t="shared" si="147"/>
        <v>-</v>
      </c>
      <c r="AH21" s="52" t="str">
        <f t="shared" si="148"/>
        <v>-</v>
      </c>
      <c r="AI21" s="52" t="str">
        <f t="shared" si="149"/>
        <v>-</v>
      </c>
      <c r="AJ21" s="52" t="str">
        <f t="shared" si="150"/>
        <v>-</v>
      </c>
      <c r="AK21" s="52" t="str">
        <f t="shared" si="151"/>
        <v>-</v>
      </c>
      <c r="AL21" s="52" t="str">
        <f t="shared" si="152"/>
        <v>-</v>
      </c>
      <c r="AM21" s="53" t="str">
        <f t="shared" si="153"/>
        <v>-</v>
      </c>
      <c r="AN21" s="51" t="str">
        <f t="shared" si="154"/>
        <v>-</v>
      </c>
      <c r="AO21" s="52" t="str">
        <f t="shared" si="155"/>
        <v>-</v>
      </c>
      <c r="AP21" s="52" t="str">
        <f t="shared" si="156"/>
        <v>-</v>
      </c>
      <c r="AQ21" s="52" t="str">
        <f t="shared" si="157"/>
        <v>-</v>
      </c>
      <c r="AR21" s="52" t="str">
        <f t="shared" si="158"/>
        <v>-</v>
      </c>
      <c r="AS21" s="52" t="str">
        <f t="shared" si="159"/>
        <v>-</v>
      </c>
      <c r="AT21" s="52" t="str">
        <f t="shared" si="160"/>
        <v>-</v>
      </c>
      <c r="AU21" s="52" t="str">
        <f t="shared" si="161"/>
        <v>-</v>
      </c>
      <c r="AV21" s="52" t="str">
        <f t="shared" si="162"/>
        <v>-</v>
      </c>
      <c r="AW21" s="52" t="str">
        <f t="shared" si="163"/>
        <v>-</v>
      </c>
      <c r="AX21" s="52" t="str">
        <f t="shared" si="164"/>
        <v>-</v>
      </c>
      <c r="AY21" s="52" t="str">
        <f t="shared" si="165"/>
        <v>-</v>
      </c>
      <c r="AZ21" s="52" t="str">
        <f t="shared" si="166"/>
        <v>-</v>
      </c>
      <c r="BA21" s="52" t="str">
        <f t="shared" si="167"/>
        <v>-</v>
      </c>
      <c r="BB21" s="52" t="str">
        <f t="shared" si="168"/>
        <v>-</v>
      </c>
      <c r="BC21" s="52" t="str">
        <f t="shared" si="169"/>
        <v>-</v>
      </c>
      <c r="BD21" s="52" t="str">
        <f t="shared" si="170"/>
        <v>-</v>
      </c>
      <c r="BE21" s="53" t="str">
        <f t="shared" si="171"/>
        <v>-</v>
      </c>
      <c r="BF21" s="51" t="str">
        <f t="shared" si="172"/>
        <v>-</v>
      </c>
      <c r="BG21" s="52" t="str">
        <f t="shared" si="173"/>
        <v>-</v>
      </c>
      <c r="BH21" s="52" t="str">
        <f t="shared" si="174"/>
        <v>-</v>
      </c>
      <c r="BI21" s="52" t="str">
        <f t="shared" si="175"/>
        <v>-</v>
      </c>
      <c r="BJ21" s="52" t="str">
        <f t="shared" si="176"/>
        <v>-</v>
      </c>
      <c r="BK21" s="52" t="str">
        <f t="shared" si="177"/>
        <v>-</v>
      </c>
      <c r="BL21" s="52">
        <f t="shared" si="178"/>
        <v>48.71</v>
      </c>
      <c r="BM21" s="52" t="str">
        <f t="shared" si="179"/>
        <v>-</v>
      </c>
      <c r="BN21" s="52" t="str">
        <f t="shared" si="180"/>
        <v>-</v>
      </c>
      <c r="BO21" s="52" t="str">
        <f t="shared" si="181"/>
        <v>-</v>
      </c>
      <c r="BP21" s="52" t="str">
        <f t="shared" si="182"/>
        <v>-</v>
      </c>
      <c r="BQ21" s="52" t="str">
        <f t="shared" si="183"/>
        <v>-</v>
      </c>
      <c r="BR21" s="52" t="str">
        <f t="shared" si="184"/>
        <v>-</v>
      </c>
      <c r="BS21" s="52" t="str">
        <f t="shared" si="185"/>
        <v>-</v>
      </c>
      <c r="BT21" s="52" t="str">
        <f t="shared" si="186"/>
        <v>-</v>
      </c>
      <c r="BU21" s="52" t="str">
        <f t="shared" si="187"/>
        <v>-</v>
      </c>
      <c r="BV21" s="52" t="str">
        <f t="shared" si="188"/>
        <v>-</v>
      </c>
      <c r="BW21" s="53" t="str">
        <f t="shared" si="189"/>
        <v>-</v>
      </c>
      <c r="BX21" s="51" t="str">
        <f t="shared" si="190"/>
        <v>-</v>
      </c>
      <c r="BY21" s="52" t="str">
        <f t="shared" si="191"/>
        <v>-</v>
      </c>
      <c r="BZ21" s="52" t="str">
        <f t="shared" si="192"/>
        <v>-</v>
      </c>
      <c r="CA21" s="52" t="str">
        <f t="shared" si="193"/>
        <v>-</v>
      </c>
      <c r="CB21" s="52" t="str">
        <f t="shared" si="194"/>
        <v>-</v>
      </c>
      <c r="CC21" s="52" t="str">
        <f t="shared" si="195"/>
        <v>-</v>
      </c>
      <c r="CD21" s="52" t="str">
        <f t="shared" si="196"/>
        <v>-</v>
      </c>
      <c r="CE21" s="52" t="str">
        <f t="shared" si="197"/>
        <v>-</v>
      </c>
      <c r="CF21" s="52" t="str">
        <f t="shared" si="198"/>
        <v>-</v>
      </c>
      <c r="CG21" s="52" t="str">
        <f t="shared" si="199"/>
        <v>-</v>
      </c>
      <c r="CH21" s="52" t="str">
        <f t="shared" si="200"/>
        <v>-</v>
      </c>
      <c r="CI21" s="52" t="str">
        <f t="shared" si="201"/>
        <v>-</v>
      </c>
      <c r="CJ21" s="52" t="str">
        <f t="shared" si="202"/>
        <v>-</v>
      </c>
      <c r="CK21" s="52" t="str">
        <f t="shared" si="203"/>
        <v>-</v>
      </c>
      <c r="CL21" s="52" t="str">
        <f t="shared" si="204"/>
        <v>-</v>
      </c>
      <c r="CM21" s="52" t="str">
        <f t="shared" si="205"/>
        <v>-</v>
      </c>
      <c r="CN21" s="52" t="str">
        <f t="shared" si="206"/>
        <v>-</v>
      </c>
      <c r="CO21" s="53" t="str">
        <f t="shared" si="207"/>
        <v>-</v>
      </c>
      <c r="CQ21" s="305" t="str">
        <f t="shared" si="126"/>
        <v>-</v>
      </c>
      <c r="CR21" s="305" t="str">
        <f t="shared" si="127"/>
        <v>-</v>
      </c>
      <c r="CS21" s="305" t="str">
        <f t="shared" si="128"/>
        <v>-</v>
      </c>
      <c r="CT21" s="305">
        <f t="shared" si="129"/>
        <v>50.31</v>
      </c>
      <c r="CU21" s="305" t="str">
        <f t="shared" si="130"/>
        <v>-</v>
      </c>
      <c r="CV21" s="305" t="str">
        <f t="shared" si="131"/>
        <v>-</v>
      </c>
      <c r="CX21" s="51">
        <f t="shared" si="72"/>
        <v>49.11</v>
      </c>
      <c r="CY21" s="52" t="str">
        <f t="shared" si="73"/>
        <v>-</v>
      </c>
      <c r="CZ21" s="53" t="str">
        <f t="shared" si="74"/>
        <v>-</v>
      </c>
      <c r="DA21" s="51" t="str">
        <f t="shared" si="75"/>
        <v>-</v>
      </c>
      <c r="DB21" s="52" t="str">
        <f t="shared" si="76"/>
        <v>-</v>
      </c>
      <c r="DC21" s="53" t="str">
        <f t="shared" si="77"/>
        <v>-</v>
      </c>
      <c r="DD21" s="57"/>
      <c r="DE21" s="106" t="str">
        <f t="shared" si="78"/>
        <v>-</v>
      </c>
      <c r="DF21" s="107" t="str">
        <f t="shared" si="79"/>
        <v>-</v>
      </c>
      <c r="DG21" s="107" t="str">
        <f t="shared" si="80"/>
        <v>-</v>
      </c>
      <c r="DH21" s="107">
        <f t="shared" si="81"/>
        <v>49.11</v>
      </c>
      <c r="DI21" s="107" t="str">
        <f t="shared" si="82"/>
        <v>-</v>
      </c>
      <c r="DJ21" s="107" t="str">
        <f t="shared" si="83"/>
        <v>-</v>
      </c>
      <c r="DK21" s="107" t="str">
        <f t="shared" si="84"/>
        <v>-</v>
      </c>
      <c r="DL21" s="107" t="str">
        <f t="shared" si="85"/>
        <v>-</v>
      </c>
      <c r="DM21" s="108" t="str">
        <f t="shared" si="86"/>
        <v>-</v>
      </c>
      <c r="DO21" s="106" t="str">
        <f t="shared" si="87"/>
        <v>-</v>
      </c>
      <c r="DP21" s="107" t="str">
        <f t="shared" si="88"/>
        <v>-</v>
      </c>
      <c r="DQ21" s="107" t="str">
        <f t="shared" si="89"/>
        <v>-</v>
      </c>
      <c r="DR21" s="107">
        <f t="shared" si="90"/>
        <v>49.11</v>
      </c>
      <c r="DS21" s="107" t="str">
        <f t="shared" si="91"/>
        <v>-</v>
      </c>
      <c r="DT21" s="107" t="str">
        <f t="shared" si="92"/>
        <v>-</v>
      </c>
      <c r="DU21" s="107" t="str">
        <f t="shared" si="93"/>
        <v>-</v>
      </c>
      <c r="DV21" s="107" t="str">
        <f t="shared" si="94"/>
        <v>-</v>
      </c>
      <c r="DW21" s="108" t="str">
        <f t="shared" si="95"/>
        <v>-</v>
      </c>
      <c r="DX21" s="109" t="str">
        <f t="shared" si="96"/>
        <v>-</v>
      </c>
      <c r="DY21" s="110" t="str">
        <f t="shared" si="97"/>
        <v>-</v>
      </c>
      <c r="DZ21" s="110" t="str">
        <f t="shared" si="98"/>
        <v>-</v>
      </c>
      <c r="EA21" s="110" t="str">
        <f t="shared" si="99"/>
        <v>-</v>
      </c>
      <c r="EB21" s="110" t="str">
        <f t="shared" si="100"/>
        <v>-</v>
      </c>
      <c r="EC21" s="110" t="str">
        <f t="shared" si="101"/>
        <v>-</v>
      </c>
      <c r="ED21" s="110" t="str">
        <f t="shared" si="102"/>
        <v>-</v>
      </c>
      <c r="EE21" s="110" t="str">
        <f t="shared" si="103"/>
        <v>-</v>
      </c>
      <c r="EF21" s="111" t="str">
        <f t="shared" si="104"/>
        <v>-</v>
      </c>
      <c r="EG21" s="109" t="str">
        <f t="shared" si="105"/>
        <v>-</v>
      </c>
      <c r="EH21" s="110" t="str">
        <f t="shared" si="106"/>
        <v>-</v>
      </c>
      <c r="EI21" s="110" t="str">
        <f t="shared" si="107"/>
        <v>-</v>
      </c>
      <c r="EJ21" s="110" t="str">
        <f t="shared" si="108"/>
        <v>-</v>
      </c>
      <c r="EK21" s="110" t="str">
        <f t="shared" si="109"/>
        <v>-</v>
      </c>
      <c r="EL21" s="110" t="str">
        <f t="shared" si="110"/>
        <v>-</v>
      </c>
      <c r="EM21" s="110" t="str">
        <f t="shared" si="111"/>
        <v>-</v>
      </c>
      <c r="EN21" s="110" t="str">
        <f t="shared" si="112"/>
        <v>-</v>
      </c>
      <c r="EO21" s="111" t="str">
        <f t="shared" si="113"/>
        <v>-</v>
      </c>
      <c r="EQ21" s="118">
        <f t="shared" si="114"/>
        <v>49.11</v>
      </c>
      <c r="ER21" s="119" t="str">
        <f t="shared" si="115"/>
        <v>-</v>
      </c>
      <c r="ES21" s="120" t="str">
        <f t="shared" si="116"/>
        <v>-</v>
      </c>
      <c r="ET21" s="90">
        <v>2</v>
      </c>
      <c r="EU21" s="118">
        <f t="shared" si="117"/>
        <v>2</v>
      </c>
      <c r="EV21" s="119" t="str">
        <f t="shared" si="118"/>
        <v>-</v>
      </c>
      <c r="EW21" s="120" t="str">
        <f t="shared" si="119"/>
        <v>-</v>
      </c>
    </row>
    <row r="22" spans="1:153" ht="15.75" thickBot="1" x14ac:dyDescent="0.3">
      <c r="A22" s="41"/>
      <c r="B22" s="171" t="s">
        <v>456</v>
      </c>
      <c r="C22" s="171" t="s">
        <v>470</v>
      </c>
      <c r="D22" s="42">
        <f>VLOOKUP(B22,'BASE DE DATOS'!$B$3:$E$106,2,FALSE)</f>
        <v>35.909999999999997</v>
      </c>
      <c r="E22" s="42">
        <f>VLOOKUP(B22,'BASE DE DATOS'!$B$3:$E$106,4,FALSE)</f>
        <v>1.9199999999999946</v>
      </c>
      <c r="F22" s="42">
        <f>VLOOKUP(C22,'BASE DE DATOS'!$B$3:$E$106,2,FALSE)</f>
        <v>35.51</v>
      </c>
      <c r="G22" s="42">
        <f>VLOOKUP(C22,'BASE DE DATOS'!$B$3:$E$106,4,FALSE)</f>
        <v>1.9399999999999977</v>
      </c>
      <c r="H22" s="43">
        <f t="shared" si="135"/>
        <v>1.9299999999999962</v>
      </c>
      <c r="I22" s="171">
        <v>46.63</v>
      </c>
      <c r="J22" s="44">
        <f t="shared" si="132"/>
        <v>46.63</v>
      </c>
      <c r="K22" s="40">
        <f t="shared" si="133"/>
        <v>45.03</v>
      </c>
      <c r="L22" s="40">
        <f t="shared" si="134"/>
        <v>45.43</v>
      </c>
      <c r="M22" s="44">
        <f t="shared" si="124"/>
        <v>200</v>
      </c>
      <c r="N22" s="40">
        <f t="shared" si="125"/>
        <v>46.63</v>
      </c>
      <c r="O22" s="171" t="s">
        <v>120</v>
      </c>
      <c r="P22" s="19">
        <v>187.6</v>
      </c>
      <c r="Q22" s="171" t="s">
        <v>123</v>
      </c>
      <c r="R22" s="171" t="s">
        <v>133</v>
      </c>
      <c r="S22" s="171" t="s">
        <v>147</v>
      </c>
      <c r="T22" s="171" t="s">
        <v>146</v>
      </c>
      <c r="V22" s="51" t="str">
        <f t="shared" si="136"/>
        <v>-</v>
      </c>
      <c r="W22" s="52" t="str">
        <f t="shared" si="137"/>
        <v>-</v>
      </c>
      <c r="X22" s="52" t="str">
        <f t="shared" si="138"/>
        <v>-</v>
      </c>
      <c r="Y22" s="52" t="str">
        <f t="shared" si="139"/>
        <v>-</v>
      </c>
      <c r="Z22" s="52" t="str">
        <f t="shared" si="140"/>
        <v>-</v>
      </c>
      <c r="AA22" s="52" t="str">
        <f t="shared" si="141"/>
        <v>-</v>
      </c>
      <c r="AB22" s="52" t="str">
        <f t="shared" si="142"/>
        <v>-</v>
      </c>
      <c r="AC22" s="52">
        <f t="shared" si="143"/>
        <v>45.03</v>
      </c>
      <c r="AD22" s="52" t="str">
        <f t="shared" si="144"/>
        <v>-</v>
      </c>
      <c r="AE22" s="52" t="str">
        <f t="shared" si="145"/>
        <v>-</v>
      </c>
      <c r="AF22" s="52" t="str">
        <f t="shared" si="146"/>
        <v>-</v>
      </c>
      <c r="AG22" s="52" t="str">
        <f t="shared" si="147"/>
        <v>-</v>
      </c>
      <c r="AH22" s="52" t="str">
        <f t="shared" si="148"/>
        <v>-</v>
      </c>
      <c r="AI22" s="52" t="str">
        <f t="shared" si="149"/>
        <v>-</v>
      </c>
      <c r="AJ22" s="52" t="str">
        <f t="shared" si="150"/>
        <v>-</v>
      </c>
      <c r="AK22" s="52" t="str">
        <f t="shared" si="151"/>
        <v>-</v>
      </c>
      <c r="AL22" s="52" t="str">
        <f t="shared" si="152"/>
        <v>-</v>
      </c>
      <c r="AM22" s="53" t="str">
        <f t="shared" si="153"/>
        <v>-</v>
      </c>
      <c r="AN22" s="51" t="str">
        <f t="shared" si="154"/>
        <v>-</v>
      </c>
      <c r="AO22" s="52" t="str">
        <f t="shared" si="155"/>
        <v>-</v>
      </c>
      <c r="AP22" s="52" t="str">
        <f t="shared" si="156"/>
        <v>-</v>
      </c>
      <c r="AQ22" s="52" t="str">
        <f t="shared" si="157"/>
        <v>-</v>
      </c>
      <c r="AR22" s="52" t="str">
        <f t="shared" si="158"/>
        <v>-</v>
      </c>
      <c r="AS22" s="52" t="str">
        <f t="shared" si="159"/>
        <v>-</v>
      </c>
      <c r="AT22" s="52" t="str">
        <f t="shared" si="160"/>
        <v>-</v>
      </c>
      <c r="AU22" s="52" t="str">
        <f t="shared" si="161"/>
        <v>-</v>
      </c>
      <c r="AV22" s="52" t="str">
        <f t="shared" si="162"/>
        <v>-</v>
      </c>
      <c r="AW22" s="52" t="str">
        <f t="shared" si="163"/>
        <v>-</v>
      </c>
      <c r="AX22" s="52" t="str">
        <f t="shared" si="164"/>
        <v>-</v>
      </c>
      <c r="AY22" s="52" t="str">
        <f t="shared" si="165"/>
        <v>-</v>
      </c>
      <c r="AZ22" s="52" t="str">
        <f t="shared" si="166"/>
        <v>-</v>
      </c>
      <c r="BA22" s="52" t="str">
        <f t="shared" si="167"/>
        <v>-</v>
      </c>
      <c r="BB22" s="52" t="str">
        <f t="shared" si="168"/>
        <v>-</v>
      </c>
      <c r="BC22" s="52" t="str">
        <f t="shared" si="169"/>
        <v>-</v>
      </c>
      <c r="BD22" s="52" t="str">
        <f t="shared" si="170"/>
        <v>-</v>
      </c>
      <c r="BE22" s="53" t="str">
        <f t="shared" si="171"/>
        <v>-</v>
      </c>
      <c r="BF22" s="51" t="str">
        <f t="shared" si="172"/>
        <v>-</v>
      </c>
      <c r="BG22" s="52" t="str">
        <f t="shared" si="173"/>
        <v>-</v>
      </c>
      <c r="BH22" s="52" t="str">
        <f t="shared" si="174"/>
        <v>-</v>
      </c>
      <c r="BI22" s="52" t="str">
        <f t="shared" si="175"/>
        <v>-</v>
      </c>
      <c r="BJ22" s="52" t="str">
        <f t="shared" si="176"/>
        <v>-</v>
      </c>
      <c r="BK22" s="52" t="str">
        <f t="shared" si="177"/>
        <v>-</v>
      </c>
      <c r="BL22" s="52" t="str">
        <f t="shared" si="178"/>
        <v>-</v>
      </c>
      <c r="BM22" s="52" t="str">
        <f t="shared" si="179"/>
        <v>-</v>
      </c>
      <c r="BN22" s="52" t="str">
        <f t="shared" si="180"/>
        <v>-</v>
      </c>
      <c r="BO22" s="52" t="str">
        <f t="shared" si="181"/>
        <v>-</v>
      </c>
      <c r="BP22" s="52" t="str">
        <f t="shared" si="182"/>
        <v>-</v>
      </c>
      <c r="BQ22" s="52" t="str">
        <f t="shared" si="183"/>
        <v>-</v>
      </c>
      <c r="BR22" s="52" t="str">
        <f t="shared" si="184"/>
        <v>-</v>
      </c>
      <c r="BS22" s="52" t="str">
        <f t="shared" si="185"/>
        <v>-</v>
      </c>
      <c r="BT22" s="52" t="str">
        <f t="shared" si="186"/>
        <v>-</v>
      </c>
      <c r="BU22" s="52" t="str">
        <f t="shared" si="187"/>
        <v>-</v>
      </c>
      <c r="BV22" s="52" t="str">
        <f t="shared" si="188"/>
        <v>-</v>
      </c>
      <c r="BW22" s="53" t="str">
        <f t="shared" si="189"/>
        <v>-</v>
      </c>
      <c r="BX22" s="51" t="str">
        <f t="shared" si="190"/>
        <v>-</v>
      </c>
      <c r="BY22" s="52" t="str">
        <f t="shared" si="191"/>
        <v>-</v>
      </c>
      <c r="BZ22" s="52" t="str">
        <f t="shared" si="192"/>
        <v>-</v>
      </c>
      <c r="CA22" s="52" t="str">
        <f t="shared" si="193"/>
        <v>-</v>
      </c>
      <c r="CB22" s="52" t="str">
        <f t="shared" si="194"/>
        <v>-</v>
      </c>
      <c r="CC22" s="52" t="str">
        <f t="shared" si="195"/>
        <v>-</v>
      </c>
      <c r="CD22" s="52" t="str">
        <f t="shared" si="196"/>
        <v>-</v>
      </c>
      <c r="CE22" s="52" t="str">
        <f t="shared" si="197"/>
        <v>-</v>
      </c>
      <c r="CF22" s="52" t="str">
        <f t="shared" si="198"/>
        <v>-</v>
      </c>
      <c r="CG22" s="52" t="str">
        <f t="shared" si="199"/>
        <v>-</v>
      </c>
      <c r="CH22" s="52" t="str">
        <f t="shared" si="200"/>
        <v>-</v>
      </c>
      <c r="CI22" s="52" t="str">
        <f t="shared" si="201"/>
        <v>-</v>
      </c>
      <c r="CJ22" s="52" t="str">
        <f t="shared" si="202"/>
        <v>-</v>
      </c>
      <c r="CK22" s="52" t="str">
        <f t="shared" si="203"/>
        <v>-</v>
      </c>
      <c r="CL22" s="52" t="str">
        <f t="shared" si="204"/>
        <v>-</v>
      </c>
      <c r="CM22" s="52" t="str">
        <f t="shared" si="205"/>
        <v>-</v>
      </c>
      <c r="CN22" s="52" t="str">
        <f t="shared" si="206"/>
        <v>-</v>
      </c>
      <c r="CO22" s="53" t="str">
        <f t="shared" si="207"/>
        <v>-</v>
      </c>
      <c r="CQ22" s="305" t="str">
        <f t="shared" si="126"/>
        <v>-</v>
      </c>
      <c r="CR22" s="305">
        <f t="shared" si="127"/>
        <v>46.63</v>
      </c>
      <c r="CS22" s="305" t="str">
        <f t="shared" si="128"/>
        <v>-</v>
      </c>
      <c r="CT22" s="305" t="str">
        <f t="shared" si="129"/>
        <v>-</v>
      </c>
      <c r="CU22" s="305" t="str">
        <f t="shared" si="130"/>
        <v>-</v>
      </c>
      <c r="CV22" s="305" t="str">
        <f t="shared" si="131"/>
        <v>-</v>
      </c>
      <c r="CX22" s="51" t="str">
        <f t="shared" si="72"/>
        <v>-</v>
      </c>
      <c r="CY22" s="52">
        <f t="shared" si="73"/>
        <v>45.43</v>
      </c>
      <c r="CZ22" s="53" t="str">
        <f t="shared" si="74"/>
        <v>-</v>
      </c>
      <c r="DA22" s="51" t="str">
        <f t="shared" si="75"/>
        <v>-</v>
      </c>
      <c r="DB22" s="52" t="str">
        <f t="shared" si="76"/>
        <v>-</v>
      </c>
      <c r="DC22" s="53" t="str">
        <f t="shared" si="77"/>
        <v>-</v>
      </c>
      <c r="DD22" s="57"/>
      <c r="DE22" s="106" t="str">
        <f t="shared" si="78"/>
        <v>-</v>
      </c>
      <c r="DF22" s="107" t="str">
        <f t="shared" si="79"/>
        <v>-</v>
      </c>
      <c r="DG22" s="107" t="str">
        <f t="shared" si="80"/>
        <v>-</v>
      </c>
      <c r="DH22" s="107" t="str">
        <f t="shared" si="81"/>
        <v>-</v>
      </c>
      <c r="DI22" s="107" t="str">
        <f t="shared" si="82"/>
        <v>-</v>
      </c>
      <c r="DJ22" s="107" t="str">
        <f t="shared" si="83"/>
        <v>-</v>
      </c>
      <c r="DK22" s="107" t="str">
        <f t="shared" si="84"/>
        <v>-</v>
      </c>
      <c r="DL22" s="107" t="str">
        <f t="shared" si="85"/>
        <v>-</v>
      </c>
      <c r="DM22" s="108" t="str">
        <f t="shared" si="86"/>
        <v>-</v>
      </c>
      <c r="DO22" s="106" t="str">
        <f t="shared" si="87"/>
        <v>-</v>
      </c>
      <c r="DP22" s="107" t="str">
        <f t="shared" si="88"/>
        <v>-</v>
      </c>
      <c r="DQ22" s="107" t="str">
        <f t="shared" si="89"/>
        <v>-</v>
      </c>
      <c r="DR22" s="107" t="str">
        <f t="shared" si="90"/>
        <v>-</v>
      </c>
      <c r="DS22" s="107" t="str">
        <f t="shared" si="91"/>
        <v>-</v>
      </c>
      <c r="DT22" s="107" t="str">
        <f t="shared" si="92"/>
        <v>-</v>
      </c>
      <c r="DU22" s="107" t="str">
        <f t="shared" si="93"/>
        <v>-</v>
      </c>
      <c r="DV22" s="107" t="str">
        <f t="shared" si="94"/>
        <v>-</v>
      </c>
      <c r="DW22" s="108" t="str">
        <f t="shared" si="95"/>
        <v>-</v>
      </c>
      <c r="DX22" s="109" t="str">
        <f t="shared" si="96"/>
        <v>-</v>
      </c>
      <c r="DY22" s="110" t="str">
        <f t="shared" si="97"/>
        <v>-</v>
      </c>
      <c r="DZ22" s="110" t="str">
        <f t="shared" si="98"/>
        <v>-</v>
      </c>
      <c r="EA22" s="110">
        <f t="shared" si="99"/>
        <v>46.63</v>
      </c>
      <c r="EB22" s="110" t="str">
        <f t="shared" si="100"/>
        <v>-</v>
      </c>
      <c r="EC22" s="110" t="str">
        <f t="shared" si="101"/>
        <v>-</v>
      </c>
      <c r="ED22" s="110" t="str">
        <f t="shared" si="102"/>
        <v>-</v>
      </c>
      <c r="EE22" s="110" t="str">
        <f t="shared" si="103"/>
        <v>-</v>
      </c>
      <c r="EF22" s="111" t="str">
        <f t="shared" si="104"/>
        <v>-</v>
      </c>
      <c r="EG22" s="109" t="str">
        <f t="shared" si="105"/>
        <v>-</v>
      </c>
      <c r="EH22" s="110" t="str">
        <f t="shared" si="106"/>
        <v>-</v>
      </c>
      <c r="EI22" s="110" t="str">
        <f t="shared" si="107"/>
        <v>-</v>
      </c>
      <c r="EJ22" s="110" t="str">
        <f t="shared" si="108"/>
        <v>-</v>
      </c>
      <c r="EK22" s="110" t="str">
        <f t="shared" si="109"/>
        <v>-</v>
      </c>
      <c r="EL22" s="110" t="str">
        <f t="shared" si="110"/>
        <v>-</v>
      </c>
      <c r="EM22" s="110" t="str">
        <f t="shared" si="111"/>
        <v>-</v>
      </c>
      <c r="EN22" s="110" t="str">
        <f t="shared" si="112"/>
        <v>-</v>
      </c>
      <c r="EO22" s="111" t="str">
        <f t="shared" si="113"/>
        <v>-</v>
      </c>
      <c r="EQ22" s="118">
        <f t="shared" si="114"/>
        <v>45.43</v>
      </c>
      <c r="ER22" s="119" t="str">
        <f t="shared" si="115"/>
        <v>-</v>
      </c>
      <c r="ES22" s="120" t="str">
        <f t="shared" si="116"/>
        <v>-</v>
      </c>
      <c r="ET22" s="90">
        <v>2</v>
      </c>
      <c r="EU22" s="118">
        <f t="shared" si="117"/>
        <v>2</v>
      </c>
      <c r="EV22" s="119" t="str">
        <f t="shared" si="118"/>
        <v>-</v>
      </c>
      <c r="EW22" s="120" t="str">
        <f t="shared" si="119"/>
        <v>-</v>
      </c>
    </row>
    <row r="23" spans="1:153" ht="15.75" thickBot="1" x14ac:dyDescent="0.3">
      <c r="A23" s="41"/>
      <c r="B23" s="171" t="s">
        <v>457</v>
      </c>
      <c r="C23" s="171" t="s">
        <v>469</v>
      </c>
      <c r="D23" s="42">
        <f>VLOOKUP(B23,'BASE DE DATOS'!$B$3:$E$106,2,FALSE)</f>
        <v>36.130000000000003</v>
      </c>
      <c r="E23" s="42">
        <f>VLOOKUP(B23,'BASE DE DATOS'!$B$3:$E$106,4,FALSE)</f>
        <v>1.3500000000000014</v>
      </c>
      <c r="F23" s="42">
        <f>VLOOKUP(C23,'BASE DE DATOS'!$B$3:$E$106,2,FALSE)</f>
        <v>35.47</v>
      </c>
      <c r="G23" s="42">
        <f>VLOOKUP(C23,'BASE DE DATOS'!$B$3:$E$106,4,FALSE)</f>
        <v>1.769999999999996</v>
      </c>
      <c r="H23" s="43">
        <f t="shared" si="135"/>
        <v>1.5599999999999987</v>
      </c>
      <c r="I23" s="171">
        <v>45.71</v>
      </c>
      <c r="J23" s="44">
        <f t="shared" si="132"/>
        <v>45.71</v>
      </c>
      <c r="K23" s="40">
        <f t="shared" si="133"/>
        <v>44.12</v>
      </c>
      <c r="L23" s="40">
        <f t="shared" si="134"/>
        <v>44.52</v>
      </c>
      <c r="M23" s="44">
        <f t="shared" si="124"/>
        <v>200</v>
      </c>
      <c r="N23" s="40">
        <f t="shared" si="125"/>
        <v>45.71</v>
      </c>
      <c r="O23" s="171" t="s">
        <v>120</v>
      </c>
      <c r="P23" s="19">
        <v>187.6</v>
      </c>
      <c r="Q23" s="171" t="s">
        <v>122</v>
      </c>
      <c r="R23" s="171" t="s">
        <v>133</v>
      </c>
      <c r="S23" s="171" t="s">
        <v>148</v>
      </c>
      <c r="T23" s="171" t="s">
        <v>149</v>
      </c>
      <c r="V23" s="51" t="str">
        <f t="shared" si="136"/>
        <v>-</v>
      </c>
      <c r="W23" s="52" t="str">
        <f t="shared" si="137"/>
        <v>-</v>
      </c>
      <c r="X23" s="52" t="str">
        <f t="shared" si="138"/>
        <v>-</v>
      </c>
      <c r="Y23" s="52" t="str">
        <f t="shared" si="139"/>
        <v>-</v>
      </c>
      <c r="Z23" s="52" t="str">
        <f t="shared" si="140"/>
        <v>-</v>
      </c>
      <c r="AA23" s="52" t="str">
        <f t="shared" si="141"/>
        <v>-</v>
      </c>
      <c r="AB23" s="52" t="str">
        <f t="shared" si="142"/>
        <v>-</v>
      </c>
      <c r="AC23" s="52" t="str">
        <f t="shared" si="143"/>
        <v>-</v>
      </c>
      <c r="AD23" s="52" t="str">
        <f t="shared" si="144"/>
        <v>-</v>
      </c>
      <c r="AE23" s="52" t="str">
        <f t="shared" si="145"/>
        <v>-</v>
      </c>
      <c r="AF23" s="52" t="str">
        <f t="shared" si="146"/>
        <v>-</v>
      </c>
      <c r="AG23" s="52" t="str">
        <f t="shared" si="147"/>
        <v>-</v>
      </c>
      <c r="AH23" s="52" t="str">
        <f t="shared" si="148"/>
        <v>-</v>
      </c>
      <c r="AI23" s="52" t="str">
        <f t="shared" si="149"/>
        <v>-</v>
      </c>
      <c r="AJ23" s="52" t="str">
        <f t="shared" si="150"/>
        <v>-</v>
      </c>
      <c r="AK23" s="52" t="str">
        <f t="shared" si="151"/>
        <v>-</v>
      </c>
      <c r="AL23" s="52" t="str">
        <f t="shared" si="152"/>
        <v>-</v>
      </c>
      <c r="AM23" s="53" t="str">
        <f t="shared" si="153"/>
        <v>-</v>
      </c>
      <c r="AN23" s="51" t="str">
        <f t="shared" si="154"/>
        <v>-</v>
      </c>
      <c r="AO23" s="52" t="str">
        <f t="shared" si="155"/>
        <v>-</v>
      </c>
      <c r="AP23" s="52" t="str">
        <f t="shared" si="156"/>
        <v>-</v>
      </c>
      <c r="AQ23" s="52" t="str">
        <f t="shared" si="157"/>
        <v>-</v>
      </c>
      <c r="AR23" s="52" t="str">
        <f t="shared" si="158"/>
        <v>-</v>
      </c>
      <c r="AS23" s="52" t="str">
        <f t="shared" si="159"/>
        <v>-</v>
      </c>
      <c r="AT23" s="52" t="str">
        <f t="shared" si="160"/>
        <v>-</v>
      </c>
      <c r="AU23" s="52" t="str">
        <f t="shared" si="161"/>
        <v>-</v>
      </c>
      <c r="AV23" s="52" t="str">
        <f t="shared" si="162"/>
        <v>-</v>
      </c>
      <c r="AW23" s="52" t="str">
        <f t="shared" si="163"/>
        <v>-</v>
      </c>
      <c r="AX23" s="52" t="str">
        <f t="shared" si="164"/>
        <v>-</v>
      </c>
      <c r="AY23" s="52" t="str">
        <f t="shared" si="165"/>
        <v>-</v>
      </c>
      <c r="AZ23" s="52" t="str">
        <f t="shared" si="166"/>
        <v>-</v>
      </c>
      <c r="BA23" s="52" t="str">
        <f t="shared" si="167"/>
        <v>-</v>
      </c>
      <c r="BB23" s="52" t="str">
        <f t="shared" si="168"/>
        <v>-</v>
      </c>
      <c r="BC23" s="52" t="str">
        <f t="shared" si="169"/>
        <v>-</v>
      </c>
      <c r="BD23" s="52" t="str">
        <f t="shared" si="170"/>
        <v>-</v>
      </c>
      <c r="BE23" s="53" t="str">
        <f t="shared" si="171"/>
        <v>-</v>
      </c>
      <c r="BF23" s="51" t="str">
        <f t="shared" si="172"/>
        <v>-</v>
      </c>
      <c r="BG23" s="52" t="str">
        <f t="shared" si="173"/>
        <v>-</v>
      </c>
      <c r="BH23" s="52" t="str">
        <f t="shared" si="174"/>
        <v>-</v>
      </c>
      <c r="BI23" s="52" t="str">
        <f t="shared" si="175"/>
        <v>-</v>
      </c>
      <c r="BJ23" s="52">
        <f t="shared" si="176"/>
        <v>44.12</v>
      </c>
      <c r="BK23" s="52" t="str">
        <f t="shared" si="177"/>
        <v>-</v>
      </c>
      <c r="BL23" s="52" t="str">
        <f t="shared" si="178"/>
        <v>-</v>
      </c>
      <c r="BM23" s="52" t="str">
        <f t="shared" si="179"/>
        <v>-</v>
      </c>
      <c r="BN23" s="52" t="str">
        <f t="shared" si="180"/>
        <v>-</v>
      </c>
      <c r="BO23" s="52" t="str">
        <f t="shared" si="181"/>
        <v>-</v>
      </c>
      <c r="BP23" s="52" t="str">
        <f t="shared" si="182"/>
        <v>-</v>
      </c>
      <c r="BQ23" s="52" t="str">
        <f t="shared" si="183"/>
        <v>-</v>
      </c>
      <c r="BR23" s="52" t="str">
        <f t="shared" si="184"/>
        <v>-</v>
      </c>
      <c r="BS23" s="52" t="str">
        <f t="shared" si="185"/>
        <v>-</v>
      </c>
      <c r="BT23" s="52" t="str">
        <f t="shared" si="186"/>
        <v>-</v>
      </c>
      <c r="BU23" s="52" t="str">
        <f t="shared" si="187"/>
        <v>-</v>
      </c>
      <c r="BV23" s="52" t="str">
        <f t="shared" si="188"/>
        <v>-</v>
      </c>
      <c r="BW23" s="53" t="str">
        <f t="shared" si="189"/>
        <v>-</v>
      </c>
      <c r="BX23" s="51" t="str">
        <f t="shared" si="190"/>
        <v>-</v>
      </c>
      <c r="BY23" s="52" t="str">
        <f t="shared" si="191"/>
        <v>-</v>
      </c>
      <c r="BZ23" s="52" t="str">
        <f t="shared" si="192"/>
        <v>-</v>
      </c>
      <c r="CA23" s="52" t="str">
        <f t="shared" si="193"/>
        <v>-</v>
      </c>
      <c r="CB23" s="52" t="str">
        <f t="shared" si="194"/>
        <v>-</v>
      </c>
      <c r="CC23" s="52" t="str">
        <f t="shared" si="195"/>
        <v>-</v>
      </c>
      <c r="CD23" s="52" t="str">
        <f t="shared" si="196"/>
        <v>-</v>
      </c>
      <c r="CE23" s="52" t="str">
        <f t="shared" si="197"/>
        <v>-</v>
      </c>
      <c r="CF23" s="52" t="str">
        <f t="shared" si="198"/>
        <v>-</v>
      </c>
      <c r="CG23" s="52" t="str">
        <f t="shared" si="199"/>
        <v>-</v>
      </c>
      <c r="CH23" s="52" t="str">
        <f t="shared" si="200"/>
        <v>-</v>
      </c>
      <c r="CI23" s="52" t="str">
        <f t="shared" si="201"/>
        <v>-</v>
      </c>
      <c r="CJ23" s="52" t="str">
        <f t="shared" si="202"/>
        <v>-</v>
      </c>
      <c r="CK23" s="52" t="str">
        <f t="shared" si="203"/>
        <v>-</v>
      </c>
      <c r="CL23" s="52" t="str">
        <f t="shared" si="204"/>
        <v>-</v>
      </c>
      <c r="CM23" s="52" t="str">
        <f t="shared" si="205"/>
        <v>-</v>
      </c>
      <c r="CN23" s="52" t="str">
        <f t="shared" si="206"/>
        <v>-</v>
      </c>
      <c r="CO23" s="53" t="str">
        <f t="shared" si="207"/>
        <v>-</v>
      </c>
      <c r="CQ23" s="305" t="str">
        <f t="shared" si="126"/>
        <v>-</v>
      </c>
      <c r="CR23" s="305" t="str">
        <f t="shared" si="127"/>
        <v>-</v>
      </c>
      <c r="CS23" s="305" t="str">
        <f t="shared" si="128"/>
        <v>-</v>
      </c>
      <c r="CT23" s="305">
        <f t="shared" si="129"/>
        <v>45.71</v>
      </c>
      <c r="CU23" s="305" t="str">
        <f t="shared" si="130"/>
        <v>-</v>
      </c>
      <c r="CV23" s="305" t="str">
        <f t="shared" si="131"/>
        <v>-</v>
      </c>
      <c r="CX23" s="51">
        <f t="shared" si="72"/>
        <v>44.52</v>
      </c>
      <c r="CY23" s="52" t="str">
        <f t="shared" si="73"/>
        <v>-</v>
      </c>
      <c r="CZ23" s="53" t="str">
        <f t="shared" si="74"/>
        <v>-</v>
      </c>
      <c r="DA23" s="51" t="str">
        <f t="shared" si="75"/>
        <v>-</v>
      </c>
      <c r="DB23" s="52" t="str">
        <f t="shared" si="76"/>
        <v>-</v>
      </c>
      <c r="DC23" s="53" t="str">
        <f t="shared" si="77"/>
        <v>-</v>
      </c>
      <c r="DD23" s="57"/>
      <c r="DE23" s="106" t="str">
        <f t="shared" si="78"/>
        <v>-</v>
      </c>
      <c r="DF23" s="107" t="str">
        <f t="shared" si="79"/>
        <v>-</v>
      </c>
      <c r="DG23" s="107" t="str">
        <f t="shared" si="80"/>
        <v>-</v>
      </c>
      <c r="DH23" s="107">
        <f t="shared" si="81"/>
        <v>44.52</v>
      </c>
      <c r="DI23" s="107" t="str">
        <f t="shared" si="82"/>
        <v>-</v>
      </c>
      <c r="DJ23" s="107" t="str">
        <f t="shared" si="83"/>
        <v>-</v>
      </c>
      <c r="DK23" s="107" t="str">
        <f t="shared" si="84"/>
        <v>-</v>
      </c>
      <c r="DL23" s="107" t="str">
        <f t="shared" si="85"/>
        <v>-</v>
      </c>
      <c r="DM23" s="108" t="str">
        <f t="shared" si="86"/>
        <v>-</v>
      </c>
      <c r="DO23" s="106" t="str">
        <f t="shared" si="87"/>
        <v>-</v>
      </c>
      <c r="DP23" s="107" t="str">
        <f t="shared" si="88"/>
        <v>-</v>
      </c>
      <c r="DQ23" s="107" t="str">
        <f t="shared" si="89"/>
        <v>-</v>
      </c>
      <c r="DR23" s="107">
        <f t="shared" si="90"/>
        <v>44.52</v>
      </c>
      <c r="DS23" s="107" t="str">
        <f t="shared" si="91"/>
        <v>-</v>
      </c>
      <c r="DT23" s="107" t="str">
        <f t="shared" si="92"/>
        <v>-</v>
      </c>
      <c r="DU23" s="107" t="str">
        <f t="shared" si="93"/>
        <v>-</v>
      </c>
      <c r="DV23" s="107" t="str">
        <f t="shared" si="94"/>
        <v>-</v>
      </c>
      <c r="DW23" s="108" t="str">
        <f t="shared" si="95"/>
        <v>-</v>
      </c>
      <c r="DX23" s="109" t="str">
        <f t="shared" si="96"/>
        <v>-</v>
      </c>
      <c r="DY23" s="110" t="str">
        <f t="shared" si="97"/>
        <v>-</v>
      </c>
      <c r="DZ23" s="110" t="str">
        <f t="shared" si="98"/>
        <v>-</v>
      </c>
      <c r="EA23" s="110" t="str">
        <f t="shared" si="99"/>
        <v>-</v>
      </c>
      <c r="EB23" s="110" t="str">
        <f t="shared" si="100"/>
        <v>-</v>
      </c>
      <c r="EC23" s="110" t="str">
        <f t="shared" si="101"/>
        <v>-</v>
      </c>
      <c r="ED23" s="110" t="str">
        <f t="shared" si="102"/>
        <v>-</v>
      </c>
      <c r="EE23" s="110" t="str">
        <f t="shared" si="103"/>
        <v>-</v>
      </c>
      <c r="EF23" s="111" t="str">
        <f t="shared" si="104"/>
        <v>-</v>
      </c>
      <c r="EG23" s="109" t="str">
        <f t="shared" si="105"/>
        <v>-</v>
      </c>
      <c r="EH23" s="110" t="str">
        <f t="shared" si="106"/>
        <v>-</v>
      </c>
      <c r="EI23" s="110" t="str">
        <f t="shared" si="107"/>
        <v>-</v>
      </c>
      <c r="EJ23" s="110" t="str">
        <f t="shared" si="108"/>
        <v>-</v>
      </c>
      <c r="EK23" s="110" t="str">
        <f t="shared" si="109"/>
        <v>-</v>
      </c>
      <c r="EL23" s="110" t="str">
        <f t="shared" si="110"/>
        <v>-</v>
      </c>
      <c r="EM23" s="110" t="str">
        <f t="shared" si="111"/>
        <v>-</v>
      </c>
      <c r="EN23" s="110" t="str">
        <f t="shared" si="112"/>
        <v>-</v>
      </c>
      <c r="EO23" s="111" t="str">
        <f t="shared" si="113"/>
        <v>-</v>
      </c>
      <c r="EQ23" s="118">
        <f t="shared" si="114"/>
        <v>44.52</v>
      </c>
      <c r="ER23" s="119" t="str">
        <f t="shared" si="115"/>
        <v>-</v>
      </c>
      <c r="ES23" s="120" t="str">
        <f t="shared" si="116"/>
        <v>-</v>
      </c>
      <c r="ET23" s="90">
        <v>2</v>
      </c>
      <c r="EU23" s="118">
        <f t="shared" si="117"/>
        <v>2</v>
      </c>
      <c r="EV23" s="119" t="str">
        <f t="shared" si="118"/>
        <v>-</v>
      </c>
      <c r="EW23" s="120" t="str">
        <f t="shared" si="119"/>
        <v>-</v>
      </c>
    </row>
    <row r="24" spans="1:153" ht="15.75" thickBot="1" x14ac:dyDescent="0.3">
      <c r="A24" s="41"/>
      <c r="B24" s="171" t="s">
        <v>458</v>
      </c>
      <c r="C24" s="171" t="s">
        <v>463</v>
      </c>
      <c r="D24" s="42">
        <f>VLOOKUP(B24,'BASE DE DATOS'!$B$3:$E$106,2,FALSE)</f>
        <v>36.83</v>
      </c>
      <c r="E24" s="42">
        <f>VLOOKUP(B24,'BASE DE DATOS'!$B$3:$E$106,4,FALSE)</f>
        <v>1.2399999999999949</v>
      </c>
      <c r="F24" s="42">
        <f>VLOOKUP(C24,'BASE DE DATOS'!$B$3:$E$106,2,FALSE)</f>
        <v>36.520000000000003</v>
      </c>
      <c r="G24" s="42">
        <f>VLOOKUP(C24,'BASE DE DATOS'!$B$3:$E$106,4,FALSE)</f>
        <v>1.3500000000000014</v>
      </c>
      <c r="H24" s="43">
        <f t="shared" si="135"/>
        <v>1.2949999999999982</v>
      </c>
      <c r="I24" s="171">
        <v>30.43</v>
      </c>
      <c r="J24" s="44">
        <f t="shared" si="132"/>
        <v>30.43</v>
      </c>
      <c r="K24" s="40">
        <f t="shared" si="133"/>
        <v>28.83</v>
      </c>
      <c r="L24" s="40">
        <f t="shared" si="134"/>
        <v>29.23</v>
      </c>
      <c r="M24" s="40">
        <f t="shared" si="124"/>
        <v>200</v>
      </c>
      <c r="N24" s="40">
        <f t="shared" si="125"/>
        <v>30.43</v>
      </c>
      <c r="O24" s="171" t="s">
        <v>120</v>
      </c>
      <c r="P24" s="19">
        <v>187.6</v>
      </c>
      <c r="Q24" s="171" t="s">
        <v>122</v>
      </c>
      <c r="R24" s="171" t="s">
        <v>133</v>
      </c>
      <c r="S24" s="171" t="s">
        <v>389</v>
      </c>
      <c r="T24" s="171" t="s">
        <v>149</v>
      </c>
      <c r="V24" s="51" t="str">
        <f t="shared" si="136"/>
        <v>-</v>
      </c>
      <c r="W24" s="52" t="str">
        <f t="shared" si="137"/>
        <v>-</v>
      </c>
      <c r="X24" s="52" t="str">
        <f t="shared" si="138"/>
        <v>-</v>
      </c>
      <c r="Y24" s="52" t="str">
        <f t="shared" si="139"/>
        <v>-</v>
      </c>
      <c r="Z24" s="52" t="str">
        <f t="shared" si="140"/>
        <v>-</v>
      </c>
      <c r="AA24" s="52" t="str">
        <f t="shared" si="141"/>
        <v>-</v>
      </c>
      <c r="AB24" s="52" t="str">
        <f t="shared" si="142"/>
        <v>-</v>
      </c>
      <c r="AC24" s="52" t="str">
        <f t="shared" si="143"/>
        <v>-</v>
      </c>
      <c r="AD24" s="52" t="str">
        <f t="shared" si="144"/>
        <v>-</v>
      </c>
      <c r="AE24" s="52" t="str">
        <f t="shared" si="145"/>
        <v>-</v>
      </c>
      <c r="AF24" s="52" t="str">
        <f t="shared" si="146"/>
        <v>-</v>
      </c>
      <c r="AG24" s="52" t="str">
        <f t="shared" si="147"/>
        <v>-</v>
      </c>
      <c r="AH24" s="52" t="str">
        <f t="shared" si="148"/>
        <v>-</v>
      </c>
      <c r="AI24" s="52" t="str">
        <f t="shared" si="149"/>
        <v>-</v>
      </c>
      <c r="AJ24" s="52" t="str">
        <f t="shared" si="150"/>
        <v>-</v>
      </c>
      <c r="AK24" s="52" t="str">
        <f t="shared" si="151"/>
        <v>-</v>
      </c>
      <c r="AL24" s="52" t="str">
        <f t="shared" si="152"/>
        <v>-</v>
      </c>
      <c r="AM24" s="53" t="str">
        <f t="shared" si="153"/>
        <v>-</v>
      </c>
      <c r="AN24" s="51" t="str">
        <f t="shared" si="154"/>
        <v>-</v>
      </c>
      <c r="AO24" s="52" t="str">
        <f t="shared" si="155"/>
        <v>-</v>
      </c>
      <c r="AP24" s="52" t="str">
        <f t="shared" si="156"/>
        <v>-</v>
      </c>
      <c r="AQ24" s="52" t="str">
        <f t="shared" si="157"/>
        <v>-</v>
      </c>
      <c r="AR24" s="52" t="str">
        <f t="shared" si="158"/>
        <v>-</v>
      </c>
      <c r="AS24" s="52" t="str">
        <f t="shared" si="159"/>
        <v>-</v>
      </c>
      <c r="AT24" s="52" t="str">
        <f t="shared" si="160"/>
        <v>-</v>
      </c>
      <c r="AU24" s="52" t="str">
        <f t="shared" si="161"/>
        <v>-</v>
      </c>
      <c r="AV24" s="52" t="str">
        <f t="shared" si="162"/>
        <v>-</v>
      </c>
      <c r="AW24" s="52" t="str">
        <f t="shared" si="163"/>
        <v>-</v>
      </c>
      <c r="AX24" s="52" t="str">
        <f t="shared" si="164"/>
        <v>-</v>
      </c>
      <c r="AY24" s="52" t="str">
        <f t="shared" si="165"/>
        <v>-</v>
      </c>
      <c r="AZ24" s="52" t="str">
        <f t="shared" si="166"/>
        <v>-</v>
      </c>
      <c r="BA24" s="52" t="str">
        <f t="shared" si="167"/>
        <v>-</v>
      </c>
      <c r="BB24" s="52" t="str">
        <f t="shared" si="168"/>
        <v>-</v>
      </c>
      <c r="BC24" s="52" t="str">
        <f t="shared" si="169"/>
        <v>-</v>
      </c>
      <c r="BD24" s="52" t="str">
        <f t="shared" si="170"/>
        <v>-</v>
      </c>
      <c r="BE24" s="53" t="str">
        <f t="shared" si="171"/>
        <v>-</v>
      </c>
      <c r="BF24" s="51" t="str">
        <f t="shared" si="172"/>
        <v>-</v>
      </c>
      <c r="BG24" s="52" t="str">
        <f t="shared" si="173"/>
        <v>-</v>
      </c>
      <c r="BH24" s="52">
        <f t="shared" si="174"/>
        <v>28.83</v>
      </c>
      <c r="BI24" s="52" t="str">
        <f t="shared" si="175"/>
        <v>-</v>
      </c>
      <c r="BJ24" s="52" t="str">
        <f t="shared" si="176"/>
        <v>-</v>
      </c>
      <c r="BK24" s="52" t="str">
        <f t="shared" si="177"/>
        <v>-</v>
      </c>
      <c r="BL24" s="52" t="str">
        <f t="shared" si="178"/>
        <v>-</v>
      </c>
      <c r="BM24" s="52" t="str">
        <f t="shared" si="179"/>
        <v>-</v>
      </c>
      <c r="BN24" s="52" t="str">
        <f t="shared" si="180"/>
        <v>-</v>
      </c>
      <c r="BO24" s="52" t="str">
        <f t="shared" si="181"/>
        <v>-</v>
      </c>
      <c r="BP24" s="52" t="str">
        <f t="shared" si="182"/>
        <v>-</v>
      </c>
      <c r="BQ24" s="52" t="str">
        <f t="shared" si="183"/>
        <v>-</v>
      </c>
      <c r="BR24" s="52" t="str">
        <f t="shared" si="184"/>
        <v>-</v>
      </c>
      <c r="BS24" s="52" t="str">
        <f t="shared" si="185"/>
        <v>-</v>
      </c>
      <c r="BT24" s="52" t="str">
        <f t="shared" si="186"/>
        <v>-</v>
      </c>
      <c r="BU24" s="52" t="str">
        <f t="shared" si="187"/>
        <v>-</v>
      </c>
      <c r="BV24" s="52" t="str">
        <f t="shared" si="188"/>
        <v>-</v>
      </c>
      <c r="BW24" s="53" t="str">
        <f t="shared" si="189"/>
        <v>-</v>
      </c>
      <c r="BX24" s="51" t="str">
        <f t="shared" si="190"/>
        <v>-</v>
      </c>
      <c r="BY24" s="52" t="str">
        <f t="shared" si="191"/>
        <v>-</v>
      </c>
      <c r="BZ24" s="52" t="str">
        <f t="shared" si="192"/>
        <v>-</v>
      </c>
      <c r="CA24" s="52" t="str">
        <f t="shared" si="193"/>
        <v>-</v>
      </c>
      <c r="CB24" s="52" t="str">
        <f t="shared" si="194"/>
        <v>-</v>
      </c>
      <c r="CC24" s="52" t="str">
        <f t="shared" si="195"/>
        <v>-</v>
      </c>
      <c r="CD24" s="52" t="str">
        <f t="shared" si="196"/>
        <v>-</v>
      </c>
      <c r="CE24" s="52" t="str">
        <f t="shared" si="197"/>
        <v>-</v>
      </c>
      <c r="CF24" s="52" t="str">
        <f t="shared" si="198"/>
        <v>-</v>
      </c>
      <c r="CG24" s="52" t="str">
        <f t="shared" si="199"/>
        <v>-</v>
      </c>
      <c r="CH24" s="52" t="str">
        <f t="shared" si="200"/>
        <v>-</v>
      </c>
      <c r="CI24" s="52" t="str">
        <f t="shared" si="201"/>
        <v>-</v>
      </c>
      <c r="CJ24" s="52" t="str">
        <f t="shared" si="202"/>
        <v>-</v>
      </c>
      <c r="CK24" s="52" t="str">
        <f t="shared" si="203"/>
        <v>-</v>
      </c>
      <c r="CL24" s="52" t="str">
        <f t="shared" si="204"/>
        <v>-</v>
      </c>
      <c r="CM24" s="52" t="str">
        <f t="shared" si="205"/>
        <v>-</v>
      </c>
      <c r="CN24" s="52" t="str">
        <f t="shared" si="206"/>
        <v>-</v>
      </c>
      <c r="CO24" s="53" t="str">
        <f t="shared" si="207"/>
        <v>-</v>
      </c>
      <c r="CQ24" s="305" t="str">
        <f t="shared" si="126"/>
        <v>-</v>
      </c>
      <c r="CR24" s="305" t="str">
        <f t="shared" si="127"/>
        <v>-</v>
      </c>
      <c r="CS24" s="305" t="str">
        <f t="shared" si="128"/>
        <v>-</v>
      </c>
      <c r="CT24" s="305" t="str">
        <f t="shared" si="129"/>
        <v>-</v>
      </c>
      <c r="CU24" s="305">
        <f t="shared" si="130"/>
        <v>30.43</v>
      </c>
      <c r="CV24" s="305" t="str">
        <f t="shared" si="131"/>
        <v>-</v>
      </c>
      <c r="CX24" s="51">
        <f t="shared" si="72"/>
        <v>29.23</v>
      </c>
      <c r="CY24" s="52" t="str">
        <f t="shared" si="73"/>
        <v>-</v>
      </c>
      <c r="CZ24" s="53" t="str">
        <f t="shared" si="74"/>
        <v>-</v>
      </c>
      <c r="DA24" s="51" t="str">
        <f t="shared" si="75"/>
        <v>-</v>
      </c>
      <c r="DB24" s="52" t="str">
        <f t="shared" si="76"/>
        <v>-</v>
      </c>
      <c r="DC24" s="53" t="str">
        <f t="shared" si="77"/>
        <v>-</v>
      </c>
      <c r="DD24" s="57"/>
      <c r="DE24" s="106" t="str">
        <f t="shared" si="78"/>
        <v>-</v>
      </c>
      <c r="DF24" s="107" t="str">
        <f t="shared" si="79"/>
        <v>-</v>
      </c>
      <c r="DG24" s="107" t="str">
        <f t="shared" si="80"/>
        <v>-</v>
      </c>
      <c r="DH24" s="107">
        <f t="shared" si="81"/>
        <v>29.23</v>
      </c>
      <c r="DI24" s="107" t="str">
        <f t="shared" si="82"/>
        <v>-</v>
      </c>
      <c r="DJ24" s="107" t="str">
        <f t="shared" si="83"/>
        <v>-</v>
      </c>
      <c r="DK24" s="107" t="str">
        <f t="shared" si="84"/>
        <v>-</v>
      </c>
      <c r="DL24" s="107" t="str">
        <f t="shared" si="85"/>
        <v>-</v>
      </c>
      <c r="DM24" s="108" t="str">
        <f t="shared" si="86"/>
        <v>-</v>
      </c>
      <c r="DO24" s="106" t="str">
        <f t="shared" si="87"/>
        <v>-</v>
      </c>
      <c r="DP24" s="107" t="str">
        <f t="shared" si="88"/>
        <v>-</v>
      </c>
      <c r="DQ24" s="107" t="str">
        <f t="shared" si="89"/>
        <v>-</v>
      </c>
      <c r="DR24" s="107">
        <f t="shared" si="90"/>
        <v>29.23</v>
      </c>
      <c r="DS24" s="107" t="str">
        <f t="shared" si="91"/>
        <v>-</v>
      </c>
      <c r="DT24" s="107" t="str">
        <f t="shared" si="92"/>
        <v>-</v>
      </c>
      <c r="DU24" s="107" t="str">
        <f t="shared" si="93"/>
        <v>-</v>
      </c>
      <c r="DV24" s="107" t="str">
        <f t="shared" si="94"/>
        <v>-</v>
      </c>
      <c r="DW24" s="108" t="str">
        <f t="shared" si="95"/>
        <v>-</v>
      </c>
      <c r="DX24" s="109" t="str">
        <f t="shared" si="96"/>
        <v>-</v>
      </c>
      <c r="DY24" s="110" t="str">
        <f t="shared" si="97"/>
        <v>-</v>
      </c>
      <c r="DZ24" s="110" t="str">
        <f t="shared" si="98"/>
        <v>-</v>
      </c>
      <c r="EA24" s="110" t="str">
        <f t="shared" si="99"/>
        <v>-</v>
      </c>
      <c r="EB24" s="110" t="str">
        <f t="shared" si="100"/>
        <v>-</v>
      </c>
      <c r="EC24" s="110" t="str">
        <f t="shared" si="101"/>
        <v>-</v>
      </c>
      <c r="ED24" s="110" t="str">
        <f t="shared" si="102"/>
        <v>-</v>
      </c>
      <c r="EE24" s="110" t="str">
        <f t="shared" si="103"/>
        <v>-</v>
      </c>
      <c r="EF24" s="111" t="str">
        <f t="shared" si="104"/>
        <v>-</v>
      </c>
      <c r="EG24" s="109" t="str">
        <f t="shared" si="105"/>
        <v>-</v>
      </c>
      <c r="EH24" s="110" t="str">
        <f t="shared" si="106"/>
        <v>-</v>
      </c>
      <c r="EI24" s="110" t="str">
        <f t="shared" si="107"/>
        <v>-</v>
      </c>
      <c r="EJ24" s="110" t="str">
        <f t="shared" si="108"/>
        <v>-</v>
      </c>
      <c r="EK24" s="110" t="str">
        <f t="shared" si="109"/>
        <v>-</v>
      </c>
      <c r="EL24" s="110" t="str">
        <f t="shared" si="110"/>
        <v>-</v>
      </c>
      <c r="EM24" s="110" t="str">
        <f t="shared" si="111"/>
        <v>-</v>
      </c>
      <c r="EN24" s="110" t="str">
        <f t="shared" si="112"/>
        <v>-</v>
      </c>
      <c r="EO24" s="111" t="str">
        <f t="shared" si="113"/>
        <v>-</v>
      </c>
      <c r="EQ24" s="118">
        <f t="shared" si="114"/>
        <v>29.23</v>
      </c>
      <c r="ER24" s="119" t="str">
        <f t="shared" si="115"/>
        <v>-</v>
      </c>
      <c r="ES24" s="120" t="str">
        <f t="shared" si="116"/>
        <v>-</v>
      </c>
      <c r="ET24" s="90">
        <v>2</v>
      </c>
      <c r="EU24" s="118">
        <f t="shared" si="117"/>
        <v>2</v>
      </c>
      <c r="EV24" s="119" t="str">
        <f t="shared" si="118"/>
        <v>-</v>
      </c>
      <c r="EW24" s="120" t="str">
        <f t="shared" si="119"/>
        <v>-</v>
      </c>
    </row>
    <row r="25" spans="1:153" ht="15.75" thickBot="1" x14ac:dyDescent="0.3">
      <c r="A25" s="41"/>
      <c r="B25" s="171" t="s">
        <v>463</v>
      </c>
      <c r="C25" s="171" t="s">
        <v>466</v>
      </c>
      <c r="D25" s="42">
        <f>VLOOKUP(B25,'BASE DE DATOS'!$B$3:$E$106,2,FALSE)</f>
        <v>36.520000000000003</v>
      </c>
      <c r="E25" s="42">
        <f>VLOOKUP(B25,'BASE DE DATOS'!$B$3:$E$106,4,FALSE)</f>
        <v>1.3500000000000014</v>
      </c>
      <c r="F25" s="42">
        <f>VLOOKUP(C25,'BASE DE DATOS'!$B$3:$E$106,2,FALSE)</f>
        <v>36.79</v>
      </c>
      <c r="G25" s="42">
        <f>VLOOKUP(C25,'BASE DE DATOS'!$B$3:$E$106,4,FALSE)</f>
        <v>2.4200000000000017</v>
      </c>
      <c r="H25" s="43">
        <f t="shared" si="135"/>
        <v>1.8850000000000016</v>
      </c>
      <c r="I25" s="171">
        <v>22.54</v>
      </c>
      <c r="J25" s="44">
        <f t="shared" si="132"/>
        <v>22.57</v>
      </c>
      <c r="K25" s="40">
        <f t="shared" si="133"/>
        <v>20.96</v>
      </c>
      <c r="L25" s="40">
        <f t="shared" si="134"/>
        <v>21.35</v>
      </c>
      <c r="M25" s="44">
        <f t="shared" si="124"/>
        <v>200</v>
      </c>
      <c r="N25" s="40">
        <f t="shared" si="125"/>
        <v>22.54</v>
      </c>
      <c r="O25" s="171" t="s">
        <v>120</v>
      </c>
      <c r="P25" s="19">
        <v>187.6</v>
      </c>
      <c r="Q25" s="171" t="s">
        <v>123</v>
      </c>
      <c r="R25" s="171" t="s">
        <v>133</v>
      </c>
      <c r="S25" s="171" t="s">
        <v>389</v>
      </c>
      <c r="T25" s="171" t="s">
        <v>149</v>
      </c>
      <c r="V25" s="51" t="str">
        <f t="shared" si="136"/>
        <v>-</v>
      </c>
      <c r="W25" s="52" t="str">
        <f t="shared" si="137"/>
        <v>-</v>
      </c>
      <c r="X25" s="52" t="str">
        <f t="shared" si="138"/>
        <v>-</v>
      </c>
      <c r="Y25" s="52" t="str">
        <f t="shared" si="139"/>
        <v>-</v>
      </c>
      <c r="Z25" s="52" t="str">
        <f t="shared" si="140"/>
        <v>-</v>
      </c>
      <c r="AA25" s="52" t="str">
        <f t="shared" si="141"/>
        <v>-</v>
      </c>
      <c r="AB25" s="52" t="str">
        <f t="shared" si="142"/>
        <v>-</v>
      </c>
      <c r="AC25" s="52" t="str">
        <f t="shared" si="143"/>
        <v>-</v>
      </c>
      <c r="AD25" s="52" t="str">
        <f t="shared" si="144"/>
        <v>-</v>
      </c>
      <c r="AE25" s="52" t="str">
        <f t="shared" si="145"/>
        <v>-</v>
      </c>
      <c r="AF25" s="52" t="str">
        <f t="shared" si="146"/>
        <v>-</v>
      </c>
      <c r="AG25" s="52" t="str">
        <f t="shared" si="147"/>
        <v>-</v>
      </c>
      <c r="AH25" s="52" t="str">
        <f t="shared" si="148"/>
        <v>-</v>
      </c>
      <c r="AI25" s="52" t="str">
        <f t="shared" si="149"/>
        <v>-</v>
      </c>
      <c r="AJ25" s="52" t="str">
        <f t="shared" si="150"/>
        <v>-</v>
      </c>
      <c r="AK25" s="52" t="str">
        <f t="shared" si="151"/>
        <v>-</v>
      </c>
      <c r="AL25" s="52" t="str">
        <f t="shared" si="152"/>
        <v>-</v>
      </c>
      <c r="AM25" s="53" t="str">
        <f t="shared" si="153"/>
        <v>-</v>
      </c>
      <c r="AN25" s="51" t="str">
        <f t="shared" si="154"/>
        <v>-</v>
      </c>
      <c r="AO25" s="52" t="str">
        <f t="shared" si="155"/>
        <v>-</v>
      </c>
      <c r="AP25" s="52" t="str">
        <f t="shared" si="156"/>
        <v>-</v>
      </c>
      <c r="AQ25" s="52" t="str">
        <f t="shared" si="157"/>
        <v>-</v>
      </c>
      <c r="AR25" s="52" t="str">
        <f t="shared" si="158"/>
        <v>-</v>
      </c>
      <c r="AS25" s="52" t="str">
        <f t="shared" si="159"/>
        <v>-</v>
      </c>
      <c r="AT25" s="52" t="str">
        <f t="shared" si="160"/>
        <v>-</v>
      </c>
      <c r="AU25" s="52" t="str">
        <f t="shared" si="161"/>
        <v>-</v>
      </c>
      <c r="AV25" s="52" t="str">
        <f t="shared" si="162"/>
        <v>-</v>
      </c>
      <c r="AW25" s="52" t="str">
        <f t="shared" si="163"/>
        <v>-</v>
      </c>
      <c r="AX25" s="52" t="str">
        <f t="shared" si="164"/>
        <v>-</v>
      </c>
      <c r="AY25" s="52" t="str">
        <f t="shared" si="165"/>
        <v>-</v>
      </c>
      <c r="AZ25" s="52" t="str">
        <f t="shared" si="166"/>
        <v>-</v>
      </c>
      <c r="BA25" s="52" t="str">
        <f t="shared" si="167"/>
        <v>-</v>
      </c>
      <c r="BB25" s="52" t="str">
        <f t="shared" si="168"/>
        <v>-</v>
      </c>
      <c r="BC25" s="52" t="str">
        <f t="shared" si="169"/>
        <v>-</v>
      </c>
      <c r="BD25" s="52" t="str">
        <f t="shared" si="170"/>
        <v>-</v>
      </c>
      <c r="BE25" s="53" t="str">
        <f t="shared" si="171"/>
        <v>-</v>
      </c>
      <c r="BF25" s="51" t="str">
        <f t="shared" si="172"/>
        <v>-</v>
      </c>
      <c r="BG25" s="52" t="str">
        <f t="shared" si="173"/>
        <v>-</v>
      </c>
      <c r="BH25" s="52" t="str">
        <f t="shared" si="174"/>
        <v>-</v>
      </c>
      <c r="BI25" s="52" t="str">
        <f t="shared" si="175"/>
        <v>-</v>
      </c>
      <c r="BJ25" s="52" t="str">
        <f t="shared" si="176"/>
        <v>-</v>
      </c>
      <c r="BK25" s="52" t="str">
        <f t="shared" si="177"/>
        <v>-</v>
      </c>
      <c r="BL25" s="52" t="str">
        <f t="shared" si="178"/>
        <v>-</v>
      </c>
      <c r="BM25" s="52">
        <f t="shared" si="179"/>
        <v>20.96</v>
      </c>
      <c r="BN25" s="52" t="str">
        <f t="shared" si="180"/>
        <v>-</v>
      </c>
      <c r="BO25" s="52" t="str">
        <f t="shared" si="181"/>
        <v>-</v>
      </c>
      <c r="BP25" s="52" t="str">
        <f t="shared" si="182"/>
        <v>-</v>
      </c>
      <c r="BQ25" s="52" t="str">
        <f t="shared" si="183"/>
        <v>-</v>
      </c>
      <c r="BR25" s="52" t="str">
        <f t="shared" si="184"/>
        <v>-</v>
      </c>
      <c r="BS25" s="52" t="str">
        <f t="shared" si="185"/>
        <v>-</v>
      </c>
      <c r="BT25" s="52" t="str">
        <f t="shared" si="186"/>
        <v>-</v>
      </c>
      <c r="BU25" s="52" t="str">
        <f t="shared" si="187"/>
        <v>-</v>
      </c>
      <c r="BV25" s="52" t="str">
        <f t="shared" si="188"/>
        <v>-</v>
      </c>
      <c r="BW25" s="53" t="str">
        <f t="shared" si="189"/>
        <v>-</v>
      </c>
      <c r="BX25" s="51" t="str">
        <f t="shared" si="190"/>
        <v>-</v>
      </c>
      <c r="BY25" s="52" t="str">
        <f t="shared" si="191"/>
        <v>-</v>
      </c>
      <c r="BZ25" s="52" t="str">
        <f t="shared" si="192"/>
        <v>-</v>
      </c>
      <c r="CA25" s="52" t="str">
        <f t="shared" si="193"/>
        <v>-</v>
      </c>
      <c r="CB25" s="52" t="str">
        <f t="shared" si="194"/>
        <v>-</v>
      </c>
      <c r="CC25" s="52" t="str">
        <f t="shared" si="195"/>
        <v>-</v>
      </c>
      <c r="CD25" s="52" t="str">
        <f t="shared" si="196"/>
        <v>-</v>
      </c>
      <c r="CE25" s="52" t="str">
        <f t="shared" si="197"/>
        <v>-</v>
      </c>
      <c r="CF25" s="52" t="str">
        <f t="shared" si="198"/>
        <v>-</v>
      </c>
      <c r="CG25" s="52" t="str">
        <f t="shared" si="199"/>
        <v>-</v>
      </c>
      <c r="CH25" s="52" t="str">
        <f t="shared" si="200"/>
        <v>-</v>
      </c>
      <c r="CI25" s="52" t="str">
        <f t="shared" si="201"/>
        <v>-</v>
      </c>
      <c r="CJ25" s="52" t="str">
        <f t="shared" si="202"/>
        <v>-</v>
      </c>
      <c r="CK25" s="52" t="str">
        <f t="shared" si="203"/>
        <v>-</v>
      </c>
      <c r="CL25" s="52" t="str">
        <f t="shared" si="204"/>
        <v>-</v>
      </c>
      <c r="CM25" s="52" t="str">
        <f t="shared" si="205"/>
        <v>-</v>
      </c>
      <c r="CN25" s="52" t="str">
        <f t="shared" si="206"/>
        <v>-</v>
      </c>
      <c r="CO25" s="53" t="str">
        <f t="shared" si="207"/>
        <v>-</v>
      </c>
      <c r="CQ25" s="305" t="str">
        <f t="shared" si="126"/>
        <v>-</v>
      </c>
      <c r="CR25" s="305" t="str">
        <f t="shared" si="127"/>
        <v>-</v>
      </c>
      <c r="CS25" s="305" t="str">
        <f t="shared" si="128"/>
        <v>-</v>
      </c>
      <c r="CT25" s="305" t="str">
        <f t="shared" si="129"/>
        <v>-</v>
      </c>
      <c r="CU25" s="305">
        <f t="shared" si="130"/>
        <v>22.54</v>
      </c>
      <c r="CV25" s="305" t="str">
        <f t="shared" si="131"/>
        <v>-</v>
      </c>
      <c r="CX25" s="51" t="str">
        <f t="shared" si="72"/>
        <v>-</v>
      </c>
      <c r="CY25" s="52">
        <f t="shared" si="73"/>
        <v>21.35</v>
      </c>
      <c r="CZ25" s="53" t="str">
        <f t="shared" si="74"/>
        <v>-</v>
      </c>
      <c r="DA25" s="51" t="str">
        <f t="shared" si="75"/>
        <v>-</v>
      </c>
      <c r="DB25" s="52" t="str">
        <f t="shared" si="76"/>
        <v>-</v>
      </c>
      <c r="DC25" s="53" t="str">
        <f t="shared" si="77"/>
        <v>-</v>
      </c>
      <c r="DD25" s="57"/>
      <c r="DE25" s="106" t="str">
        <f t="shared" si="78"/>
        <v>-</v>
      </c>
      <c r="DF25" s="107" t="str">
        <f t="shared" si="79"/>
        <v>-</v>
      </c>
      <c r="DG25" s="107" t="str">
        <f t="shared" si="80"/>
        <v>-</v>
      </c>
      <c r="DH25" s="107" t="str">
        <f t="shared" si="81"/>
        <v>-</v>
      </c>
      <c r="DI25" s="107" t="str">
        <f t="shared" si="82"/>
        <v>-</v>
      </c>
      <c r="DJ25" s="107" t="str">
        <f t="shared" si="83"/>
        <v>-</v>
      </c>
      <c r="DK25" s="107" t="str">
        <f t="shared" si="84"/>
        <v>-</v>
      </c>
      <c r="DL25" s="107" t="str">
        <f t="shared" si="85"/>
        <v>-</v>
      </c>
      <c r="DM25" s="108" t="str">
        <f t="shared" si="86"/>
        <v>-</v>
      </c>
      <c r="DO25" s="106" t="str">
        <f t="shared" si="87"/>
        <v>-</v>
      </c>
      <c r="DP25" s="107" t="str">
        <f t="shared" si="88"/>
        <v>-</v>
      </c>
      <c r="DQ25" s="107" t="str">
        <f t="shared" si="89"/>
        <v>-</v>
      </c>
      <c r="DR25" s="107" t="str">
        <f t="shared" si="90"/>
        <v>-</v>
      </c>
      <c r="DS25" s="107" t="str">
        <f t="shared" si="91"/>
        <v>-</v>
      </c>
      <c r="DT25" s="107" t="str">
        <f t="shared" si="92"/>
        <v>-</v>
      </c>
      <c r="DU25" s="107" t="str">
        <f t="shared" si="93"/>
        <v>-</v>
      </c>
      <c r="DV25" s="107" t="str">
        <f t="shared" si="94"/>
        <v>-</v>
      </c>
      <c r="DW25" s="108" t="str">
        <f t="shared" si="95"/>
        <v>-</v>
      </c>
      <c r="DX25" s="109" t="str">
        <f t="shared" si="96"/>
        <v>-</v>
      </c>
      <c r="DY25" s="110" t="str">
        <f t="shared" si="97"/>
        <v>-</v>
      </c>
      <c r="DZ25" s="110" t="str">
        <f t="shared" si="98"/>
        <v>-</v>
      </c>
      <c r="EA25" s="110">
        <f t="shared" si="99"/>
        <v>22.54</v>
      </c>
      <c r="EB25" s="110" t="str">
        <f t="shared" si="100"/>
        <v>-</v>
      </c>
      <c r="EC25" s="110" t="str">
        <f t="shared" si="101"/>
        <v>-</v>
      </c>
      <c r="ED25" s="110" t="str">
        <f t="shared" si="102"/>
        <v>-</v>
      </c>
      <c r="EE25" s="110" t="str">
        <f t="shared" si="103"/>
        <v>-</v>
      </c>
      <c r="EF25" s="111" t="str">
        <f t="shared" si="104"/>
        <v>-</v>
      </c>
      <c r="EG25" s="109" t="str">
        <f t="shared" si="105"/>
        <v>-</v>
      </c>
      <c r="EH25" s="110" t="str">
        <f t="shared" si="106"/>
        <v>-</v>
      </c>
      <c r="EI25" s="110" t="str">
        <f t="shared" si="107"/>
        <v>-</v>
      </c>
      <c r="EJ25" s="110" t="str">
        <f t="shared" si="108"/>
        <v>-</v>
      </c>
      <c r="EK25" s="110" t="str">
        <f t="shared" si="109"/>
        <v>-</v>
      </c>
      <c r="EL25" s="110" t="str">
        <f t="shared" si="110"/>
        <v>-</v>
      </c>
      <c r="EM25" s="110" t="str">
        <f t="shared" si="111"/>
        <v>-</v>
      </c>
      <c r="EN25" s="110" t="str">
        <f t="shared" si="112"/>
        <v>-</v>
      </c>
      <c r="EO25" s="111" t="str">
        <f t="shared" si="113"/>
        <v>-</v>
      </c>
      <c r="EQ25" s="118">
        <f t="shared" si="114"/>
        <v>21.35</v>
      </c>
      <c r="ER25" s="119" t="str">
        <f t="shared" si="115"/>
        <v>-</v>
      </c>
      <c r="ES25" s="120" t="str">
        <f t="shared" si="116"/>
        <v>-</v>
      </c>
      <c r="ET25" s="90">
        <v>2</v>
      </c>
      <c r="EU25" s="118">
        <f t="shared" si="117"/>
        <v>2</v>
      </c>
      <c r="EV25" s="119" t="str">
        <f t="shared" si="118"/>
        <v>-</v>
      </c>
      <c r="EW25" s="120" t="str">
        <f t="shared" si="119"/>
        <v>-</v>
      </c>
    </row>
    <row r="26" spans="1:153" ht="15.75" thickBot="1" x14ac:dyDescent="0.3">
      <c r="A26" s="41"/>
      <c r="B26" s="171" t="s">
        <v>464</v>
      </c>
      <c r="C26" s="171" t="s">
        <v>465</v>
      </c>
      <c r="D26" s="42">
        <f>VLOOKUP(B26,'BASE DE DATOS'!$B$3:$E$106,2,FALSE)</f>
        <v>36.97</v>
      </c>
      <c r="E26" s="42">
        <f>VLOOKUP(B26,'BASE DE DATOS'!$B$3:$E$106,4,FALSE)</f>
        <v>1.2100000000000009</v>
      </c>
      <c r="F26" s="42">
        <f>VLOOKUP(C26,'BASE DE DATOS'!$B$3:$E$106,2,FALSE)</f>
        <v>37.04</v>
      </c>
      <c r="G26" s="42">
        <f>VLOOKUP(C26,'BASE DE DATOS'!$B$3:$E$106,4,FALSE)</f>
        <v>1.9499999999999957</v>
      </c>
      <c r="H26" s="43">
        <f t="shared" si="135"/>
        <v>1.5799999999999983</v>
      </c>
      <c r="I26" s="171">
        <v>39.29</v>
      </c>
      <c r="J26" s="40">
        <f t="shared" si="132"/>
        <v>39.299999999999997</v>
      </c>
      <c r="K26" s="40">
        <f t="shared" si="133"/>
        <v>37.700000000000003</v>
      </c>
      <c r="L26" s="40">
        <f t="shared" si="134"/>
        <v>38.1</v>
      </c>
      <c r="M26" s="44">
        <f t="shared" si="124"/>
        <v>200</v>
      </c>
      <c r="N26" s="40">
        <f t="shared" si="125"/>
        <v>39.29</v>
      </c>
      <c r="O26" s="171" t="s">
        <v>120</v>
      </c>
      <c r="P26" s="19">
        <v>187.6</v>
      </c>
      <c r="Q26" s="171" t="s">
        <v>122</v>
      </c>
      <c r="R26" s="171" t="s">
        <v>133</v>
      </c>
      <c r="S26" s="171" t="s">
        <v>148</v>
      </c>
      <c r="T26" s="171" t="s">
        <v>149</v>
      </c>
      <c r="V26" s="51" t="str">
        <f t="shared" si="136"/>
        <v>-</v>
      </c>
      <c r="W26" s="52" t="str">
        <f t="shared" si="137"/>
        <v>-</v>
      </c>
      <c r="X26" s="52" t="str">
        <f t="shared" si="138"/>
        <v>-</v>
      </c>
      <c r="Y26" s="52" t="str">
        <f t="shared" si="139"/>
        <v>-</v>
      </c>
      <c r="Z26" s="52" t="str">
        <f t="shared" si="140"/>
        <v>-</v>
      </c>
      <c r="AA26" s="52" t="str">
        <f t="shared" si="141"/>
        <v>-</v>
      </c>
      <c r="AB26" s="52" t="str">
        <f t="shared" si="142"/>
        <v>-</v>
      </c>
      <c r="AC26" s="52" t="str">
        <f t="shared" si="143"/>
        <v>-</v>
      </c>
      <c r="AD26" s="52" t="str">
        <f t="shared" si="144"/>
        <v>-</v>
      </c>
      <c r="AE26" s="52" t="str">
        <f t="shared" si="145"/>
        <v>-</v>
      </c>
      <c r="AF26" s="52" t="str">
        <f t="shared" si="146"/>
        <v>-</v>
      </c>
      <c r="AG26" s="52" t="str">
        <f t="shared" si="147"/>
        <v>-</v>
      </c>
      <c r="AH26" s="52" t="str">
        <f t="shared" si="148"/>
        <v>-</v>
      </c>
      <c r="AI26" s="52" t="str">
        <f t="shared" si="149"/>
        <v>-</v>
      </c>
      <c r="AJ26" s="52" t="str">
        <f t="shared" si="150"/>
        <v>-</v>
      </c>
      <c r="AK26" s="52" t="str">
        <f t="shared" si="151"/>
        <v>-</v>
      </c>
      <c r="AL26" s="52" t="str">
        <f t="shared" si="152"/>
        <v>-</v>
      </c>
      <c r="AM26" s="53" t="str">
        <f t="shared" si="153"/>
        <v>-</v>
      </c>
      <c r="AN26" s="51" t="str">
        <f t="shared" si="154"/>
        <v>-</v>
      </c>
      <c r="AO26" s="52" t="str">
        <f t="shared" si="155"/>
        <v>-</v>
      </c>
      <c r="AP26" s="52" t="str">
        <f t="shared" si="156"/>
        <v>-</v>
      </c>
      <c r="AQ26" s="52" t="str">
        <f t="shared" si="157"/>
        <v>-</v>
      </c>
      <c r="AR26" s="52" t="str">
        <f t="shared" si="158"/>
        <v>-</v>
      </c>
      <c r="AS26" s="52" t="str">
        <f t="shared" si="159"/>
        <v>-</v>
      </c>
      <c r="AT26" s="52" t="str">
        <f t="shared" si="160"/>
        <v>-</v>
      </c>
      <c r="AU26" s="52" t="str">
        <f t="shared" si="161"/>
        <v>-</v>
      </c>
      <c r="AV26" s="52" t="str">
        <f t="shared" si="162"/>
        <v>-</v>
      </c>
      <c r="AW26" s="52" t="str">
        <f t="shared" si="163"/>
        <v>-</v>
      </c>
      <c r="AX26" s="52" t="str">
        <f t="shared" si="164"/>
        <v>-</v>
      </c>
      <c r="AY26" s="52" t="str">
        <f t="shared" si="165"/>
        <v>-</v>
      </c>
      <c r="AZ26" s="52" t="str">
        <f t="shared" si="166"/>
        <v>-</v>
      </c>
      <c r="BA26" s="52" t="str">
        <f t="shared" si="167"/>
        <v>-</v>
      </c>
      <c r="BB26" s="52" t="str">
        <f t="shared" si="168"/>
        <v>-</v>
      </c>
      <c r="BC26" s="52" t="str">
        <f t="shared" si="169"/>
        <v>-</v>
      </c>
      <c r="BD26" s="52" t="str">
        <f t="shared" si="170"/>
        <v>-</v>
      </c>
      <c r="BE26" s="53" t="str">
        <f t="shared" si="171"/>
        <v>-</v>
      </c>
      <c r="BF26" s="51" t="str">
        <f t="shared" si="172"/>
        <v>-</v>
      </c>
      <c r="BG26" s="52" t="str">
        <f t="shared" si="173"/>
        <v>-</v>
      </c>
      <c r="BH26" s="52" t="str">
        <f t="shared" si="174"/>
        <v>-</v>
      </c>
      <c r="BI26" s="52" t="str">
        <f t="shared" si="175"/>
        <v>-</v>
      </c>
      <c r="BJ26" s="52">
        <f t="shared" si="176"/>
        <v>37.700000000000003</v>
      </c>
      <c r="BK26" s="52" t="str">
        <f t="shared" si="177"/>
        <v>-</v>
      </c>
      <c r="BL26" s="52" t="str">
        <f t="shared" si="178"/>
        <v>-</v>
      </c>
      <c r="BM26" s="52" t="str">
        <f t="shared" si="179"/>
        <v>-</v>
      </c>
      <c r="BN26" s="52" t="str">
        <f t="shared" si="180"/>
        <v>-</v>
      </c>
      <c r="BO26" s="52" t="str">
        <f t="shared" si="181"/>
        <v>-</v>
      </c>
      <c r="BP26" s="52" t="str">
        <f t="shared" si="182"/>
        <v>-</v>
      </c>
      <c r="BQ26" s="52" t="str">
        <f t="shared" si="183"/>
        <v>-</v>
      </c>
      <c r="BR26" s="52" t="str">
        <f t="shared" si="184"/>
        <v>-</v>
      </c>
      <c r="BS26" s="52" t="str">
        <f t="shared" si="185"/>
        <v>-</v>
      </c>
      <c r="BT26" s="52" t="str">
        <f t="shared" si="186"/>
        <v>-</v>
      </c>
      <c r="BU26" s="52" t="str">
        <f t="shared" si="187"/>
        <v>-</v>
      </c>
      <c r="BV26" s="52" t="str">
        <f t="shared" si="188"/>
        <v>-</v>
      </c>
      <c r="BW26" s="53" t="str">
        <f t="shared" si="189"/>
        <v>-</v>
      </c>
      <c r="BX26" s="51" t="str">
        <f t="shared" si="190"/>
        <v>-</v>
      </c>
      <c r="BY26" s="52" t="str">
        <f t="shared" si="191"/>
        <v>-</v>
      </c>
      <c r="BZ26" s="52" t="str">
        <f t="shared" si="192"/>
        <v>-</v>
      </c>
      <c r="CA26" s="52" t="str">
        <f t="shared" si="193"/>
        <v>-</v>
      </c>
      <c r="CB26" s="52" t="str">
        <f t="shared" si="194"/>
        <v>-</v>
      </c>
      <c r="CC26" s="52" t="str">
        <f t="shared" si="195"/>
        <v>-</v>
      </c>
      <c r="CD26" s="52" t="str">
        <f t="shared" si="196"/>
        <v>-</v>
      </c>
      <c r="CE26" s="52" t="str">
        <f t="shared" si="197"/>
        <v>-</v>
      </c>
      <c r="CF26" s="52" t="str">
        <f t="shared" si="198"/>
        <v>-</v>
      </c>
      <c r="CG26" s="52" t="str">
        <f t="shared" si="199"/>
        <v>-</v>
      </c>
      <c r="CH26" s="52" t="str">
        <f t="shared" si="200"/>
        <v>-</v>
      </c>
      <c r="CI26" s="52" t="str">
        <f t="shared" si="201"/>
        <v>-</v>
      </c>
      <c r="CJ26" s="52" t="str">
        <f t="shared" si="202"/>
        <v>-</v>
      </c>
      <c r="CK26" s="52" t="str">
        <f t="shared" si="203"/>
        <v>-</v>
      </c>
      <c r="CL26" s="52" t="str">
        <f t="shared" si="204"/>
        <v>-</v>
      </c>
      <c r="CM26" s="52" t="str">
        <f t="shared" si="205"/>
        <v>-</v>
      </c>
      <c r="CN26" s="52" t="str">
        <f t="shared" si="206"/>
        <v>-</v>
      </c>
      <c r="CO26" s="53" t="str">
        <f t="shared" si="207"/>
        <v>-</v>
      </c>
      <c r="CQ26" s="305" t="str">
        <f t="shared" si="126"/>
        <v>-</v>
      </c>
      <c r="CR26" s="305" t="str">
        <f t="shared" si="127"/>
        <v>-</v>
      </c>
      <c r="CS26" s="305" t="str">
        <f t="shared" si="128"/>
        <v>-</v>
      </c>
      <c r="CT26" s="305">
        <f t="shared" si="129"/>
        <v>39.29</v>
      </c>
      <c r="CU26" s="305" t="str">
        <f t="shared" si="130"/>
        <v>-</v>
      </c>
      <c r="CV26" s="305" t="str">
        <f t="shared" si="131"/>
        <v>-</v>
      </c>
      <c r="CX26" s="51">
        <f t="shared" si="72"/>
        <v>38.1</v>
      </c>
      <c r="CY26" s="52" t="str">
        <f t="shared" si="73"/>
        <v>-</v>
      </c>
      <c r="CZ26" s="53" t="str">
        <f t="shared" si="74"/>
        <v>-</v>
      </c>
      <c r="DA26" s="51" t="str">
        <f t="shared" si="75"/>
        <v>-</v>
      </c>
      <c r="DB26" s="52" t="str">
        <f t="shared" si="76"/>
        <v>-</v>
      </c>
      <c r="DC26" s="53" t="str">
        <f t="shared" si="77"/>
        <v>-</v>
      </c>
      <c r="DD26" s="57"/>
      <c r="DE26" s="106" t="str">
        <f t="shared" si="78"/>
        <v>-</v>
      </c>
      <c r="DF26" s="107" t="str">
        <f t="shared" si="79"/>
        <v>-</v>
      </c>
      <c r="DG26" s="107" t="str">
        <f t="shared" si="80"/>
        <v>-</v>
      </c>
      <c r="DH26" s="107">
        <f t="shared" si="81"/>
        <v>38.1</v>
      </c>
      <c r="DI26" s="107" t="str">
        <f t="shared" si="82"/>
        <v>-</v>
      </c>
      <c r="DJ26" s="107" t="str">
        <f t="shared" si="83"/>
        <v>-</v>
      </c>
      <c r="DK26" s="107" t="str">
        <f t="shared" si="84"/>
        <v>-</v>
      </c>
      <c r="DL26" s="107" t="str">
        <f t="shared" si="85"/>
        <v>-</v>
      </c>
      <c r="DM26" s="108" t="str">
        <f t="shared" si="86"/>
        <v>-</v>
      </c>
      <c r="DO26" s="106" t="str">
        <f t="shared" si="87"/>
        <v>-</v>
      </c>
      <c r="DP26" s="107" t="str">
        <f t="shared" si="88"/>
        <v>-</v>
      </c>
      <c r="DQ26" s="107" t="str">
        <f t="shared" si="89"/>
        <v>-</v>
      </c>
      <c r="DR26" s="107">
        <f t="shared" si="90"/>
        <v>38.1</v>
      </c>
      <c r="DS26" s="107" t="str">
        <f t="shared" si="91"/>
        <v>-</v>
      </c>
      <c r="DT26" s="107" t="str">
        <f t="shared" si="92"/>
        <v>-</v>
      </c>
      <c r="DU26" s="107" t="str">
        <f t="shared" si="93"/>
        <v>-</v>
      </c>
      <c r="DV26" s="107" t="str">
        <f t="shared" si="94"/>
        <v>-</v>
      </c>
      <c r="DW26" s="108" t="str">
        <f t="shared" si="95"/>
        <v>-</v>
      </c>
      <c r="DX26" s="109" t="str">
        <f t="shared" si="96"/>
        <v>-</v>
      </c>
      <c r="DY26" s="110" t="str">
        <f t="shared" si="97"/>
        <v>-</v>
      </c>
      <c r="DZ26" s="110" t="str">
        <f t="shared" si="98"/>
        <v>-</v>
      </c>
      <c r="EA26" s="110" t="str">
        <f t="shared" si="99"/>
        <v>-</v>
      </c>
      <c r="EB26" s="110" t="str">
        <f t="shared" si="100"/>
        <v>-</v>
      </c>
      <c r="EC26" s="110" t="str">
        <f t="shared" si="101"/>
        <v>-</v>
      </c>
      <c r="ED26" s="110" t="str">
        <f t="shared" si="102"/>
        <v>-</v>
      </c>
      <c r="EE26" s="110" t="str">
        <f t="shared" si="103"/>
        <v>-</v>
      </c>
      <c r="EF26" s="111" t="str">
        <f t="shared" si="104"/>
        <v>-</v>
      </c>
      <c r="EG26" s="109" t="str">
        <f t="shared" si="105"/>
        <v>-</v>
      </c>
      <c r="EH26" s="110" t="str">
        <f t="shared" si="106"/>
        <v>-</v>
      </c>
      <c r="EI26" s="110" t="str">
        <f t="shared" si="107"/>
        <v>-</v>
      </c>
      <c r="EJ26" s="110" t="str">
        <f t="shared" si="108"/>
        <v>-</v>
      </c>
      <c r="EK26" s="110" t="str">
        <f t="shared" si="109"/>
        <v>-</v>
      </c>
      <c r="EL26" s="110" t="str">
        <f t="shared" si="110"/>
        <v>-</v>
      </c>
      <c r="EM26" s="110" t="str">
        <f t="shared" si="111"/>
        <v>-</v>
      </c>
      <c r="EN26" s="110" t="str">
        <f t="shared" si="112"/>
        <v>-</v>
      </c>
      <c r="EO26" s="111" t="str">
        <f t="shared" si="113"/>
        <v>-</v>
      </c>
      <c r="EQ26" s="118">
        <f t="shared" si="114"/>
        <v>38.1</v>
      </c>
      <c r="ER26" s="119" t="str">
        <f t="shared" si="115"/>
        <v>-</v>
      </c>
      <c r="ES26" s="120" t="str">
        <f t="shared" si="116"/>
        <v>-</v>
      </c>
      <c r="ET26" s="90">
        <v>2</v>
      </c>
      <c r="EU26" s="118">
        <f t="shared" si="117"/>
        <v>2</v>
      </c>
      <c r="EV26" s="119" t="str">
        <f t="shared" si="118"/>
        <v>-</v>
      </c>
      <c r="EW26" s="120" t="str">
        <f t="shared" si="119"/>
        <v>-</v>
      </c>
    </row>
    <row r="27" spans="1:153" ht="15.75" thickBot="1" x14ac:dyDescent="0.3">
      <c r="A27" s="41"/>
      <c r="B27" s="171" t="s">
        <v>465</v>
      </c>
      <c r="C27" s="171" t="s">
        <v>466</v>
      </c>
      <c r="D27" s="42">
        <f>VLOOKUP(B27,'BASE DE DATOS'!$B$3:$E$106,2,FALSE)</f>
        <v>37.04</v>
      </c>
      <c r="E27" s="42">
        <f>VLOOKUP(B27,'BASE DE DATOS'!$B$3:$E$106,4,FALSE)</f>
        <v>1.9499999999999957</v>
      </c>
      <c r="F27" s="42">
        <f>VLOOKUP(C27,'BASE DE DATOS'!$B$3:$E$106,2,FALSE)</f>
        <v>36.79</v>
      </c>
      <c r="G27" s="42">
        <f>VLOOKUP(C27,'BASE DE DATOS'!$B$3:$E$106,4,FALSE)</f>
        <v>2.4200000000000017</v>
      </c>
      <c r="H27" s="43">
        <f t="shared" si="135"/>
        <v>2.1849999999999987</v>
      </c>
      <c r="I27" s="171">
        <v>44.86</v>
      </c>
      <c r="J27" s="44">
        <f t="shared" si="132"/>
        <v>44.86</v>
      </c>
      <c r="K27" s="40">
        <f t="shared" si="133"/>
        <v>43.27</v>
      </c>
      <c r="L27" s="40">
        <f t="shared" si="134"/>
        <v>43.67</v>
      </c>
      <c r="M27" s="44">
        <f t="shared" si="124"/>
        <v>200</v>
      </c>
      <c r="N27" s="40">
        <f t="shared" si="125"/>
        <v>44.86</v>
      </c>
      <c r="O27" s="171" t="s">
        <v>120</v>
      </c>
      <c r="P27" s="19">
        <v>187.6</v>
      </c>
      <c r="Q27" s="171" t="s">
        <v>122</v>
      </c>
      <c r="R27" s="171" t="s">
        <v>133</v>
      </c>
      <c r="S27" s="171" t="s">
        <v>148</v>
      </c>
      <c r="T27" s="171" t="s">
        <v>149</v>
      </c>
      <c r="V27" s="51" t="str">
        <f t="shared" si="136"/>
        <v>-</v>
      </c>
      <c r="W27" s="52" t="str">
        <f t="shared" si="137"/>
        <v>-</v>
      </c>
      <c r="X27" s="52" t="str">
        <f t="shared" si="138"/>
        <v>-</v>
      </c>
      <c r="Y27" s="52" t="str">
        <f t="shared" si="139"/>
        <v>-</v>
      </c>
      <c r="Z27" s="52" t="str">
        <f t="shared" si="140"/>
        <v>-</v>
      </c>
      <c r="AA27" s="52" t="str">
        <f t="shared" si="141"/>
        <v>-</v>
      </c>
      <c r="AB27" s="52" t="str">
        <f t="shared" si="142"/>
        <v>-</v>
      </c>
      <c r="AC27" s="52" t="str">
        <f t="shared" si="143"/>
        <v>-</v>
      </c>
      <c r="AD27" s="52" t="str">
        <f t="shared" si="144"/>
        <v>-</v>
      </c>
      <c r="AE27" s="52" t="str">
        <f t="shared" si="145"/>
        <v>-</v>
      </c>
      <c r="AF27" s="52" t="str">
        <f t="shared" si="146"/>
        <v>-</v>
      </c>
      <c r="AG27" s="52" t="str">
        <f t="shared" si="147"/>
        <v>-</v>
      </c>
      <c r="AH27" s="52" t="str">
        <f t="shared" si="148"/>
        <v>-</v>
      </c>
      <c r="AI27" s="52" t="str">
        <f t="shared" si="149"/>
        <v>-</v>
      </c>
      <c r="AJ27" s="52" t="str">
        <f t="shared" si="150"/>
        <v>-</v>
      </c>
      <c r="AK27" s="52" t="str">
        <f t="shared" si="151"/>
        <v>-</v>
      </c>
      <c r="AL27" s="52" t="str">
        <f t="shared" si="152"/>
        <v>-</v>
      </c>
      <c r="AM27" s="53" t="str">
        <f t="shared" si="153"/>
        <v>-</v>
      </c>
      <c r="AN27" s="51" t="str">
        <f t="shared" si="154"/>
        <v>-</v>
      </c>
      <c r="AO27" s="52" t="str">
        <f t="shared" si="155"/>
        <v>-</v>
      </c>
      <c r="AP27" s="52" t="str">
        <f t="shared" si="156"/>
        <v>-</v>
      </c>
      <c r="AQ27" s="52" t="str">
        <f t="shared" si="157"/>
        <v>-</v>
      </c>
      <c r="AR27" s="52" t="str">
        <f t="shared" si="158"/>
        <v>-</v>
      </c>
      <c r="AS27" s="52" t="str">
        <f t="shared" si="159"/>
        <v>-</v>
      </c>
      <c r="AT27" s="52" t="str">
        <f t="shared" si="160"/>
        <v>-</v>
      </c>
      <c r="AU27" s="52" t="str">
        <f t="shared" si="161"/>
        <v>-</v>
      </c>
      <c r="AV27" s="52" t="str">
        <f t="shared" si="162"/>
        <v>-</v>
      </c>
      <c r="AW27" s="52" t="str">
        <f t="shared" si="163"/>
        <v>-</v>
      </c>
      <c r="AX27" s="52" t="str">
        <f t="shared" si="164"/>
        <v>-</v>
      </c>
      <c r="AY27" s="52" t="str">
        <f t="shared" si="165"/>
        <v>-</v>
      </c>
      <c r="AZ27" s="52" t="str">
        <f t="shared" si="166"/>
        <v>-</v>
      </c>
      <c r="BA27" s="52" t="str">
        <f t="shared" si="167"/>
        <v>-</v>
      </c>
      <c r="BB27" s="52" t="str">
        <f t="shared" si="168"/>
        <v>-</v>
      </c>
      <c r="BC27" s="52" t="str">
        <f t="shared" si="169"/>
        <v>-</v>
      </c>
      <c r="BD27" s="52" t="str">
        <f t="shared" si="170"/>
        <v>-</v>
      </c>
      <c r="BE27" s="53" t="str">
        <f t="shared" si="171"/>
        <v>-</v>
      </c>
      <c r="BF27" s="51" t="str">
        <f t="shared" si="172"/>
        <v>-</v>
      </c>
      <c r="BG27" s="52" t="str">
        <f t="shared" si="173"/>
        <v>-</v>
      </c>
      <c r="BH27" s="52" t="str">
        <f t="shared" si="174"/>
        <v>-</v>
      </c>
      <c r="BI27" s="52" t="str">
        <f t="shared" si="175"/>
        <v>-</v>
      </c>
      <c r="BJ27" s="52" t="str">
        <f t="shared" si="176"/>
        <v>-</v>
      </c>
      <c r="BK27" s="52" t="str">
        <f t="shared" si="177"/>
        <v>-</v>
      </c>
      <c r="BL27" s="52" t="str">
        <f t="shared" si="178"/>
        <v>-</v>
      </c>
      <c r="BM27" s="52" t="str">
        <f t="shared" si="179"/>
        <v>-</v>
      </c>
      <c r="BN27" s="52">
        <f t="shared" si="180"/>
        <v>43.27</v>
      </c>
      <c r="BO27" s="52" t="str">
        <f t="shared" si="181"/>
        <v>-</v>
      </c>
      <c r="BP27" s="52" t="str">
        <f t="shared" si="182"/>
        <v>-</v>
      </c>
      <c r="BQ27" s="52" t="str">
        <f t="shared" si="183"/>
        <v>-</v>
      </c>
      <c r="BR27" s="52" t="str">
        <f t="shared" si="184"/>
        <v>-</v>
      </c>
      <c r="BS27" s="52" t="str">
        <f t="shared" si="185"/>
        <v>-</v>
      </c>
      <c r="BT27" s="52" t="str">
        <f t="shared" si="186"/>
        <v>-</v>
      </c>
      <c r="BU27" s="52" t="str">
        <f t="shared" si="187"/>
        <v>-</v>
      </c>
      <c r="BV27" s="52" t="str">
        <f t="shared" si="188"/>
        <v>-</v>
      </c>
      <c r="BW27" s="53" t="str">
        <f t="shared" si="189"/>
        <v>-</v>
      </c>
      <c r="BX27" s="51" t="str">
        <f t="shared" si="190"/>
        <v>-</v>
      </c>
      <c r="BY27" s="52" t="str">
        <f t="shared" si="191"/>
        <v>-</v>
      </c>
      <c r="BZ27" s="52" t="str">
        <f t="shared" si="192"/>
        <v>-</v>
      </c>
      <c r="CA27" s="52" t="str">
        <f t="shared" si="193"/>
        <v>-</v>
      </c>
      <c r="CB27" s="52" t="str">
        <f t="shared" si="194"/>
        <v>-</v>
      </c>
      <c r="CC27" s="52" t="str">
        <f t="shared" si="195"/>
        <v>-</v>
      </c>
      <c r="CD27" s="52" t="str">
        <f t="shared" si="196"/>
        <v>-</v>
      </c>
      <c r="CE27" s="52" t="str">
        <f t="shared" si="197"/>
        <v>-</v>
      </c>
      <c r="CF27" s="52" t="str">
        <f t="shared" si="198"/>
        <v>-</v>
      </c>
      <c r="CG27" s="52" t="str">
        <f t="shared" si="199"/>
        <v>-</v>
      </c>
      <c r="CH27" s="52" t="str">
        <f t="shared" si="200"/>
        <v>-</v>
      </c>
      <c r="CI27" s="52" t="str">
        <f t="shared" si="201"/>
        <v>-</v>
      </c>
      <c r="CJ27" s="52" t="str">
        <f t="shared" si="202"/>
        <v>-</v>
      </c>
      <c r="CK27" s="52" t="str">
        <f t="shared" si="203"/>
        <v>-</v>
      </c>
      <c r="CL27" s="52" t="str">
        <f t="shared" si="204"/>
        <v>-</v>
      </c>
      <c r="CM27" s="52" t="str">
        <f t="shared" si="205"/>
        <v>-</v>
      </c>
      <c r="CN27" s="52" t="str">
        <f t="shared" si="206"/>
        <v>-</v>
      </c>
      <c r="CO27" s="53" t="str">
        <f t="shared" si="207"/>
        <v>-</v>
      </c>
      <c r="CQ27" s="305" t="str">
        <f t="shared" si="126"/>
        <v>-</v>
      </c>
      <c r="CR27" s="305" t="str">
        <f t="shared" si="127"/>
        <v>-</v>
      </c>
      <c r="CS27" s="305" t="str">
        <f t="shared" si="128"/>
        <v>-</v>
      </c>
      <c r="CT27" s="305">
        <f t="shared" si="129"/>
        <v>44.86</v>
      </c>
      <c r="CU27" s="305" t="str">
        <f t="shared" si="130"/>
        <v>-</v>
      </c>
      <c r="CV27" s="305" t="str">
        <f t="shared" si="131"/>
        <v>-</v>
      </c>
      <c r="CX27" s="51">
        <f t="shared" si="72"/>
        <v>43.67</v>
      </c>
      <c r="CY27" s="52" t="str">
        <f t="shared" si="73"/>
        <v>-</v>
      </c>
      <c r="CZ27" s="53" t="str">
        <f t="shared" si="74"/>
        <v>-</v>
      </c>
      <c r="DA27" s="51" t="str">
        <f t="shared" si="75"/>
        <v>-</v>
      </c>
      <c r="DB27" s="52" t="str">
        <f t="shared" si="76"/>
        <v>-</v>
      </c>
      <c r="DC27" s="53" t="str">
        <f t="shared" si="77"/>
        <v>-</v>
      </c>
      <c r="DD27" s="57"/>
      <c r="DE27" s="106" t="str">
        <f t="shared" si="78"/>
        <v>-</v>
      </c>
      <c r="DF27" s="107" t="str">
        <f t="shared" si="79"/>
        <v>-</v>
      </c>
      <c r="DG27" s="107" t="str">
        <f t="shared" si="80"/>
        <v>-</v>
      </c>
      <c r="DH27" s="107">
        <f t="shared" si="81"/>
        <v>43.67</v>
      </c>
      <c r="DI27" s="107" t="str">
        <f t="shared" si="82"/>
        <v>-</v>
      </c>
      <c r="DJ27" s="107" t="str">
        <f t="shared" si="83"/>
        <v>-</v>
      </c>
      <c r="DK27" s="107" t="str">
        <f t="shared" si="84"/>
        <v>-</v>
      </c>
      <c r="DL27" s="107" t="str">
        <f t="shared" si="85"/>
        <v>-</v>
      </c>
      <c r="DM27" s="108" t="str">
        <f t="shared" si="86"/>
        <v>-</v>
      </c>
      <c r="DO27" s="106" t="str">
        <f t="shared" si="87"/>
        <v>-</v>
      </c>
      <c r="DP27" s="107" t="str">
        <f t="shared" si="88"/>
        <v>-</v>
      </c>
      <c r="DQ27" s="107" t="str">
        <f t="shared" si="89"/>
        <v>-</v>
      </c>
      <c r="DR27" s="107">
        <f t="shared" si="90"/>
        <v>43.67</v>
      </c>
      <c r="DS27" s="107" t="str">
        <f t="shared" si="91"/>
        <v>-</v>
      </c>
      <c r="DT27" s="107" t="str">
        <f t="shared" si="92"/>
        <v>-</v>
      </c>
      <c r="DU27" s="107" t="str">
        <f t="shared" si="93"/>
        <v>-</v>
      </c>
      <c r="DV27" s="107" t="str">
        <f t="shared" si="94"/>
        <v>-</v>
      </c>
      <c r="DW27" s="108" t="str">
        <f t="shared" si="95"/>
        <v>-</v>
      </c>
      <c r="DX27" s="109" t="str">
        <f t="shared" si="96"/>
        <v>-</v>
      </c>
      <c r="DY27" s="110" t="str">
        <f t="shared" si="97"/>
        <v>-</v>
      </c>
      <c r="DZ27" s="110" t="str">
        <f t="shared" si="98"/>
        <v>-</v>
      </c>
      <c r="EA27" s="110" t="str">
        <f t="shared" si="99"/>
        <v>-</v>
      </c>
      <c r="EB27" s="110" t="str">
        <f t="shared" si="100"/>
        <v>-</v>
      </c>
      <c r="EC27" s="110" t="str">
        <f t="shared" si="101"/>
        <v>-</v>
      </c>
      <c r="ED27" s="110" t="str">
        <f t="shared" si="102"/>
        <v>-</v>
      </c>
      <c r="EE27" s="110" t="str">
        <f t="shared" si="103"/>
        <v>-</v>
      </c>
      <c r="EF27" s="111" t="str">
        <f t="shared" si="104"/>
        <v>-</v>
      </c>
      <c r="EG27" s="109" t="str">
        <f t="shared" si="105"/>
        <v>-</v>
      </c>
      <c r="EH27" s="110" t="str">
        <f t="shared" si="106"/>
        <v>-</v>
      </c>
      <c r="EI27" s="110" t="str">
        <f t="shared" si="107"/>
        <v>-</v>
      </c>
      <c r="EJ27" s="110" t="str">
        <f t="shared" si="108"/>
        <v>-</v>
      </c>
      <c r="EK27" s="110" t="str">
        <f t="shared" si="109"/>
        <v>-</v>
      </c>
      <c r="EL27" s="110" t="str">
        <f t="shared" si="110"/>
        <v>-</v>
      </c>
      <c r="EM27" s="110" t="str">
        <f t="shared" si="111"/>
        <v>-</v>
      </c>
      <c r="EN27" s="110" t="str">
        <f t="shared" si="112"/>
        <v>-</v>
      </c>
      <c r="EO27" s="111" t="str">
        <f t="shared" si="113"/>
        <v>-</v>
      </c>
      <c r="EQ27" s="118">
        <f t="shared" si="114"/>
        <v>43.67</v>
      </c>
      <c r="ER27" s="119" t="str">
        <f t="shared" si="115"/>
        <v>-</v>
      </c>
      <c r="ES27" s="120" t="str">
        <f t="shared" si="116"/>
        <v>-</v>
      </c>
      <c r="ET27" s="90">
        <v>2</v>
      </c>
      <c r="EU27" s="118">
        <f t="shared" si="117"/>
        <v>2</v>
      </c>
      <c r="EV27" s="119" t="str">
        <f t="shared" si="118"/>
        <v>-</v>
      </c>
      <c r="EW27" s="120" t="str">
        <f t="shared" si="119"/>
        <v>-</v>
      </c>
    </row>
    <row r="28" spans="1:153" ht="15.75" thickBot="1" x14ac:dyDescent="0.3">
      <c r="A28" s="41"/>
      <c r="B28" s="171" t="s">
        <v>466</v>
      </c>
      <c r="C28" s="171" t="s">
        <v>468</v>
      </c>
      <c r="D28" s="38">
        <f>VLOOKUP(B28,'BASE DE DATOS'!$B$3:$E$106,2,FALSE)</f>
        <v>36.79</v>
      </c>
      <c r="E28" s="38">
        <f>VLOOKUP(B28,'BASE DE DATOS'!$B$3:$E$106,4,FALSE)</f>
        <v>2.4200000000000017</v>
      </c>
      <c r="F28" s="38">
        <f>VLOOKUP(C28,'BASE DE DATOS'!$B$3:$E$106,2,FALSE)</f>
        <v>35.729999999999997</v>
      </c>
      <c r="G28" s="38">
        <f>VLOOKUP(C28,'BASE DE DATOS'!$B$3:$E$106,4,FALSE)</f>
        <v>1.7299999999999969</v>
      </c>
      <c r="H28" s="39">
        <f t="shared" si="135"/>
        <v>2.0749999999999993</v>
      </c>
      <c r="I28" s="171">
        <v>53.34</v>
      </c>
      <c r="J28" s="44">
        <f t="shared" si="132"/>
        <v>53.34</v>
      </c>
      <c r="K28" s="40">
        <f t="shared" si="133"/>
        <v>51.74</v>
      </c>
      <c r="L28" s="40">
        <f t="shared" si="134"/>
        <v>52.14</v>
      </c>
      <c r="M28" s="44">
        <f t="shared" si="124"/>
        <v>200</v>
      </c>
      <c r="N28" s="40">
        <f t="shared" si="125"/>
        <v>53.35</v>
      </c>
      <c r="O28" s="171" t="s">
        <v>120</v>
      </c>
      <c r="P28" s="19">
        <v>187.6</v>
      </c>
      <c r="Q28" s="171" t="s">
        <v>123</v>
      </c>
      <c r="R28" s="171" t="s">
        <v>133</v>
      </c>
      <c r="S28" s="171" t="s">
        <v>148</v>
      </c>
      <c r="T28" s="171" t="s">
        <v>149</v>
      </c>
      <c r="V28" s="51" t="str">
        <f t="shared" si="136"/>
        <v>-</v>
      </c>
      <c r="W28" s="52" t="str">
        <f t="shared" si="137"/>
        <v>-</v>
      </c>
      <c r="X28" s="52" t="str">
        <f t="shared" si="138"/>
        <v>-</v>
      </c>
      <c r="Y28" s="52" t="str">
        <f t="shared" si="139"/>
        <v>-</v>
      </c>
      <c r="Z28" s="52" t="str">
        <f t="shared" si="140"/>
        <v>-</v>
      </c>
      <c r="AA28" s="52" t="str">
        <f t="shared" si="141"/>
        <v>-</v>
      </c>
      <c r="AB28" s="52" t="str">
        <f t="shared" si="142"/>
        <v>-</v>
      </c>
      <c r="AC28" s="52" t="str">
        <f t="shared" si="143"/>
        <v>-</v>
      </c>
      <c r="AD28" s="52" t="str">
        <f t="shared" si="144"/>
        <v>-</v>
      </c>
      <c r="AE28" s="52" t="str">
        <f t="shared" si="145"/>
        <v>-</v>
      </c>
      <c r="AF28" s="52" t="str">
        <f t="shared" si="146"/>
        <v>-</v>
      </c>
      <c r="AG28" s="52" t="str">
        <f t="shared" si="147"/>
        <v>-</v>
      </c>
      <c r="AH28" s="52" t="str">
        <f t="shared" si="148"/>
        <v>-</v>
      </c>
      <c r="AI28" s="52" t="str">
        <f t="shared" si="149"/>
        <v>-</v>
      </c>
      <c r="AJ28" s="52" t="str">
        <f t="shared" si="150"/>
        <v>-</v>
      </c>
      <c r="AK28" s="52" t="str">
        <f t="shared" si="151"/>
        <v>-</v>
      </c>
      <c r="AL28" s="52" t="str">
        <f t="shared" si="152"/>
        <v>-</v>
      </c>
      <c r="AM28" s="53" t="str">
        <f t="shared" si="153"/>
        <v>-</v>
      </c>
      <c r="AN28" s="51" t="str">
        <f t="shared" si="154"/>
        <v>-</v>
      </c>
      <c r="AO28" s="52" t="str">
        <f t="shared" si="155"/>
        <v>-</v>
      </c>
      <c r="AP28" s="52" t="str">
        <f t="shared" si="156"/>
        <v>-</v>
      </c>
      <c r="AQ28" s="52" t="str">
        <f t="shared" si="157"/>
        <v>-</v>
      </c>
      <c r="AR28" s="52" t="str">
        <f t="shared" si="158"/>
        <v>-</v>
      </c>
      <c r="AS28" s="52" t="str">
        <f t="shared" si="159"/>
        <v>-</v>
      </c>
      <c r="AT28" s="52" t="str">
        <f t="shared" si="160"/>
        <v>-</v>
      </c>
      <c r="AU28" s="52" t="str">
        <f t="shared" si="161"/>
        <v>-</v>
      </c>
      <c r="AV28" s="52" t="str">
        <f t="shared" si="162"/>
        <v>-</v>
      </c>
      <c r="AW28" s="52" t="str">
        <f t="shared" si="163"/>
        <v>-</v>
      </c>
      <c r="AX28" s="52" t="str">
        <f t="shared" si="164"/>
        <v>-</v>
      </c>
      <c r="AY28" s="52" t="str">
        <f t="shared" si="165"/>
        <v>-</v>
      </c>
      <c r="AZ28" s="52" t="str">
        <f t="shared" si="166"/>
        <v>-</v>
      </c>
      <c r="BA28" s="52" t="str">
        <f t="shared" si="167"/>
        <v>-</v>
      </c>
      <c r="BB28" s="52" t="str">
        <f t="shared" si="168"/>
        <v>-</v>
      </c>
      <c r="BC28" s="52" t="str">
        <f t="shared" si="169"/>
        <v>-</v>
      </c>
      <c r="BD28" s="52" t="str">
        <f t="shared" si="170"/>
        <v>-</v>
      </c>
      <c r="BE28" s="53" t="str">
        <f t="shared" si="171"/>
        <v>-</v>
      </c>
      <c r="BF28" s="51" t="str">
        <f t="shared" si="172"/>
        <v>-</v>
      </c>
      <c r="BG28" s="52" t="str">
        <f t="shared" si="173"/>
        <v>-</v>
      </c>
      <c r="BH28" s="52" t="str">
        <f t="shared" si="174"/>
        <v>-</v>
      </c>
      <c r="BI28" s="52" t="str">
        <f t="shared" si="175"/>
        <v>-</v>
      </c>
      <c r="BJ28" s="52" t="str">
        <f t="shared" si="176"/>
        <v>-</v>
      </c>
      <c r="BK28" s="52" t="str">
        <f t="shared" si="177"/>
        <v>-</v>
      </c>
      <c r="BL28" s="52" t="str">
        <f t="shared" si="178"/>
        <v>-</v>
      </c>
      <c r="BM28" s="52" t="str">
        <f t="shared" si="179"/>
        <v>-</v>
      </c>
      <c r="BN28" s="52" t="str">
        <f t="shared" si="180"/>
        <v>-</v>
      </c>
      <c r="BO28" s="52">
        <f t="shared" si="181"/>
        <v>51.74</v>
      </c>
      <c r="BP28" s="52" t="str">
        <f t="shared" si="182"/>
        <v>-</v>
      </c>
      <c r="BQ28" s="52" t="str">
        <f t="shared" si="183"/>
        <v>-</v>
      </c>
      <c r="BR28" s="52" t="str">
        <f t="shared" si="184"/>
        <v>-</v>
      </c>
      <c r="BS28" s="52" t="str">
        <f t="shared" si="185"/>
        <v>-</v>
      </c>
      <c r="BT28" s="52" t="str">
        <f t="shared" si="186"/>
        <v>-</v>
      </c>
      <c r="BU28" s="52" t="str">
        <f t="shared" si="187"/>
        <v>-</v>
      </c>
      <c r="BV28" s="52" t="str">
        <f t="shared" si="188"/>
        <v>-</v>
      </c>
      <c r="BW28" s="53" t="str">
        <f t="shared" si="189"/>
        <v>-</v>
      </c>
      <c r="BX28" s="51" t="str">
        <f t="shared" si="190"/>
        <v>-</v>
      </c>
      <c r="BY28" s="52" t="str">
        <f t="shared" si="191"/>
        <v>-</v>
      </c>
      <c r="BZ28" s="52" t="str">
        <f t="shared" si="192"/>
        <v>-</v>
      </c>
      <c r="CA28" s="52" t="str">
        <f t="shared" si="193"/>
        <v>-</v>
      </c>
      <c r="CB28" s="52" t="str">
        <f t="shared" si="194"/>
        <v>-</v>
      </c>
      <c r="CC28" s="52" t="str">
        <f t="shared" si="195"/>
        <v>-</v>
      </c>
      <c r="CD28" s="52" t="str">
        <f t="shared" si="196"/>
        <v>-</v>
      </c>
      <c r="CE28" s="52" t="str">
        <f t="shared" si="197"/>
        <v>-</v>
      </c>
      <c r="CF28" s="52" t="str">
        <f t="shared" si="198"/>
        <v>-</v>
      </c>
      <c r="CG28" s="52" t="str">
        <f t="shared" si="199"/>
        <v>-</v>
      </c>
      <c r="CH28" s="52" t="str">
        <f t="shared" si="200"/>
        <v>-</v>
      </c>
      <c r="CI28" s="52" t="str">
        <f t="shared" si="201"/>
        <v>-</v>
      </c>
      <c r="CJ28" s="52" t="str">
        <f t="shared" si="202"/>
        <v>-</v>
      </c>
      <c r="CK28" s="52" t="str">
        <f t="shared" si="203"/>
        <v>-</v>
      </c>
      <c r="CL28" s="52" t="str">
        <f t="shared" si="204"/>
        <v>-</v>
      </c>
      <c r="CM28" s="52" t="str">
        <f t="shared" si="205"/>
        <v>-</v>
      </c>
      <c r="CN28" s="52" t="str">
        <f t="shared" si="206"/>
        <v>-</v>
      </c>
      <c r="CO28" s="53" t="str">
        <f t="shared" si="207"/>
        <v>-</v>
      </c>
      <c r="CQ28" s="305" t="str">
        <f t="shared" si="126"/>
        <v>-</v>
      </c>
      <c r="CR28" s="305" t="str">
        <f t="shared" si="127"/>
        <v>-</v>
      </c>
      <c r="CS28" s="305" t="str">
        <f t="shared" si="128"/>
        <v>-</v>
      </c>
      <c r="CT28" s="305">
        <f t="shared" si="129"/>
        <v>53.35</v>
      </c>
      <c r="CU28" s="305" t="str">
        <f t="shared" si="130"/>
        <v>-</v>
      </c>
      <c r="CV28" s="305" t="str">
        <f t="shared" si="131"/>
        <v>-</v>
      </c>
      <c r="CX28" s="51" t="str">
        <f t="shared" si="72"/>
        <v>-</v>
      </c>
      <c r="CY28" s="52">
        <f t="shared" si="73"/>
        <v>52.14</v>
      </c>
      <c r="CZ28" s="53" t="str">
        <f t="shared" si="74"/>
        <v>-</v>
      </c>
      <c r="DA28" s="51" t="str">
        <f t="shared" si="75"/>
        <v>-</v>
      </c>
      <c r="DB28" s="52" t="str">
        <f t="shared" si="76"/>
        <v>-</v>
      </c>
      <c r="DC28" s="53" t="str">
        <f t="shared" si="77"/>
        <v>-</v>
      </c>
      <c r="DD28" s="57"/>
      <c r="DE28" s="106" t="str">
        <f t="shared" si="78"/>
        <v>-</v>
      </c>
      <c r="DF28" s="107" t="str">
        <f t="shared" si="79"/>
        <v>-</v>
      </c>
      <c r="DG28" s="107" t="str">
        <f t="shared" si="80"/>
        <v>-</v>
      </c>
      <c r="DH28" s="107" t="str">
        <f t="shared" si="81"/>
        <v>-</v>
      </c>
      <c r="DI28" s="107" t="str">
        <f t="shared" si="82"/>
        <v>-</v>
      </c>
      <c r="DJ28" s="107" t="str">
        <f t="shared" si="83"/>
        <v>-</v>
      </c>
      <c r="DK28" s="107" t="str">
        <f t="shared" si="84"/>
        <v>-</v>
      </c>
      <c r="DL28" s="107" t="str">
        <f t="shared" si="85"/>
        <v>-</v>
      </c>
      <c r="DM28" s="108" t="str">
        <f t="shared" si="86"/>
        <v>-</v>
      </c>
      <c r="DO28" s="106" t="str">
        <f t="shared" si="87"/>
        <v>-</v>
      </c>
      <c r="DP28" s="107" t="str">
        <f t="shared" si="88"/>
        <v>-</v>
      </c>
      <c r="DQ28" s="107" t="str">
        <f t="shared" si="89"/>
        <v>-</v>
      </c>
      <c r="DR28" s="107" t="str">
        <f t="shared" si="90"/>
        <v>-</v>
      </c>
      <c r="DS28" s="107" t="str">
        <f t="shared" si="91"/>
        <v>-</v>
      </c>
      <c r="DT28" s="107" t="str">
        <f t="shared" si="92"/>
        <v>-</v>
      </c>
      <c r="DU28" s="107" t="str">
        <f t="shared" si="93"/>
        <v>-</v>
      </c>
      <c r="DV28" s="107" t="str">
        <f t="shared" si="94"/>
        <v>-</v>
      </c>
      <c r="DW28" s="108" t="str">
        <f t="shared" si="95"/>
        <v>-</v>
      </c>
      <c r="DX28" s="109" t="str">
        <f t="shared" si="96"/>
        <v>-</v>
      </c>
      <c r="DY28" s="110" t="str">
        <f t="shared" si="97"/>
        <v>-</v>
      </c>
      <c r="DZ28" s="110" t="str">
        <f t="shared" si="98"/>
        <v>-</v>
      </c>
      <c r="EA28" s="110">
        <f t="shared" si="99"/>
        <v>53.34</v>
      </c>
      <c r="EB28" s="110" t="str">
        <f t="shared" si="100"/>
        <v>-</v>
      </c>
      <c r="EC28" s="110" t="str">
        <f t="shared" si="101"/>
        <v>-</v>
      </c>
      <c r="ED28" s="110" t="str">
        <f t="shared" si="102"/>
        <v>-</v>
      </c>
      <c r="EE28" s="110" t="str">
        <f t="shared" si="103"/>
        <v>-</v>
      </c>
      <c r="EF28" s="111" t="str">
        <f t="shared" si="104"/>
        <v>-</v>
      </c>
      <c r="EG28" s="109" t="str">
        <f t="shared" si="105"/>
        <v>-</v>
      </c>
      <c r="EH28" s="110" t="str">
        <f t="shared" si="106"/>
        <v>-</v>
      </c>
      <c r="EI28" s="110" t="str">
        <f t="shared" si="107"/>
        <v>-</v>
      </c>
      <c r="EJ28" s="110" t="str">
        <f t="shared" si="108"/>
        <v>-</v>
      </c>
      <c r="EK28" s="110" t="str">
        <f t="shared" si="109"/>
        <v>-</v>
      </c>
      <c r="EL28" s="110" t="str">
        <f t="shared" si="110"/>
        <v>-</v>
      </c>
      <c r="EM28" s="110" t="str">
        <f t="shared" si="111"/>
        <v>-</v>
      </c>
      <c r="EN28" s="110" t="str">
        <f t="shared" si="112"/>
        <v>-</v>
      </c>
      <c r="EO28" s="111" t="str">
        <f t="shared" si="113"/>
        <v>-</v>
      </c>
      <c r="EQ28" s="118">
        <f t="shared" si="114"/>
        <v>52.14</v>
      </c>
      <c r="ER28" s="119" t="str">
        <f t="shared" si="115"/>
        <v>-</v>
      </c>
      <c r="ES28" s="120" t="str">
        <f t="shared" si="116"/>
        <v>-</v>
      </c>
      <c r="ET28" s="90">
        <v>2</v>
      </c>
      <c r="EU28" s="118">
        <f t="shared" si="117"/>
        <v>2</v>
      </c>
      <c r="EV28" s="119" t="str">
        <f t="shared" si="118"/>
        <v>-</v>
      </c>
      <c r="EW28" s="120" t="str">
        <f t="shared" si="119"/>
        <v>-</v>
      </c>
    </row>
    <row r="29" spans="1:153" ht="15.75" thickBot="1" x14ac:dyDescent="0.3">
      <c r="A29" s="41"/>
      <c r="B29" s="171" t="s">
        <v>467</v>
      </c>
      <c r="C29" s="171" t="s">
        <v>527</v>
      </c>
      <c r="D29" s="42">
        <f>VLOOKUP(B29,'BASE DE DATOS'!$B$3:$E$106,2,FALSE)</f>
        <v>35.83</v>
      </c>
      <c r="E29" s="42">
        <f>VLOOKUP(B29,'BASE DE DATOS'!$B$3:$E$106,4,FALSE)</f>
        <v>1.2999999999999972</v>
      </c>
      <c r="F29" s="42">
        <f>VLOOKUP(C29,'BASE DE DATOS'!$B$3:$E$106,2,FALSE)</f>
        <v>35.69</v>
      </c>
      <c r="G29" s="42">
        <f>VLOOKUP(C29,'BASE DE DATOS'!$B$3:$E$106,4,FALSE)</f>
        <v>1.3900000000000006</v>
      </c>
      <c r="H29" s="43">
        <f t="shared" si="135"/>
        <v>1.3449999999999989</v>
      </c>
      <c r="I29" s="171">
        <v>38.26</v>
      </c>
      <c r="J29" s="44">
        <f t="shared" si="132"/>
        <v>38.26</v>
      </c>
      <c r="K29" s="40">
        <f t="shared" si="133"/>
        <v>36.659999999999997</v>
      </c>
      <c r="L29" s="40">
        <f t="shared" si="134"/>
        <v>37.06</v>
      </c>
      <c r="M29" s="44">
        <f t="shared" si="124"/>
        <v>200</v>
      </c>
      <c r="N29" s="40">
        <f t="shared" si="125"/>
        <v>38.26</v>
      </c>
      <c r="O29" s="171" t="s">
        <v>120</v>
      </c>
      <c r="P29" s="19">
        <v>187.6</v>
      </c>
      <c r="Q29" s="171" t="s">
        <v>123</v>
      </c>
      <c r="R29" s="171" t="s">
        <v>133</v>
      </c>
      <c r="S29" s="171" t="s">
        <v>147</v>
      </c>
      <c r="T29" s="171" t="s">
        <v>146</v>
      </c>
      <c r="V29" s="51" t="str">
        <f t="shared" si="136"/>
        <v>-</v>
      </c>
      <c r="W29" s="52" t="str">
        <f t="shared" si="137"/>
        <v>-</v>
      </c>
      <c r="X29" s="52" t="str">
        <f t="shared" si="138"/>
        <v>-</v>
      </c>
      <c r="Y29" s="52">
        <f t="shared" si="139"/>
        <v>36.659999999999997</v>
      </c>
      <c r="Z29" s="52" t="str">
        <f t="shared" si="140"/>
        <v>-</v>
      </c>
      <c r="AA29" s="52" t="str">
        <f t="shared" si="141"/>
        <v>-</v>
      </c>
      <c r="AB29" s="52" t="str">
        <f t="shared" si="142"/>
        <v>-</v>
      </c>
      <c r="AC29" s="52" t="str">
        <f t="shared" si="143"/>
        <v>-</v>
      </c>
      <c r="AD29" s="52" t="str">
        <f t="shared" si="144"/>
        <v>-</v>
      </c>
      <c r="AE29" s="52" t="str">
        <f t="shared" si="145"/>
        <v>-</v>
      </c>
      <c r="AF29" s="52" t="str">
        <f t="shared" si="146"/>
        <v>-</v>
      </c>
      <c r="AG29" s="52" t="str">
        <f t="shared" si="147"/>
        <v>-</v>
      </c>
      <c r="AH29" s="52" t="str">
        <f t="shared" si="148"/>
        <v>-</v>
      </c>
      <c r="AI29" s="52" t="str">
        <f t="shared" si="149"/>
        <v>-</v>
      </c>
      <c r="AJ29" s="52" t="str">
        <f t="shared" si="150"/>
        <v>-</v>
      </c>
      <c r="AK29" s="52" t="str">
        <f t="shared" si="151"/>
        <v>-</v>
      </c>
      <c r="AL29" s="52" t="str">
        <f t="shared" si="152"/>
        <v>-</v>
      </c>
      <c r="AM29" s="53" t="str">
        <f t="shared" si="153"/>
        <v>-</v>
      </c>
      <c r="AN29" s="51" t="str">
        <f t="shared" si="154"/>
        <v>-</v>
      </c>
      <c r="AO29" s="52" t="str">
        <f t="shared" si="155"/>
        <v>-</v>
      </c>
      <c r="AP29" s="52" t="str">
        <f t="shared" si="156"/>
        <v>-</v>
      </c>
      <c r="AQ29" s="52" t="str">
        <f t="shared" si="157"/>
        <v>-</v>
      </c>
      <c r="AR29" s="52" t="str">
        <f t="shared" si="158"/>
        <v>-</v>
      </c>
      <c r="AS29" s="52" t="str">
        <f t="shared" si="159"/>
        <v>-</v>
      </c>
      <c r="AT29" s="52" t="str">
        <f t="shared" si="160"/>
        <v>-</v>
      </c>
      <c r="AU29" s="52" t="str">
        <f t="shared" si="161"/>
        <v>-</v>
      </c>
      <c r="AV29" s="52" t="str">
        <f t="shared" si="162"/>
        <v>-</v>
      </c>
      <c r="AW29" s="52" t="str">
        <f t="shared" si="163"/>
        <v>-</v>
      </c>
      <c r="AX29" s="52" t="str">
        <f t="shared" si="164"/>
        <v>-</v>
      </c>
      <c r="AY29" s="52" t="str">
        <f t="shared" si="165"/>
        <v>-</v>
      </c>
      <c r="AZ29" s="52" t="str">
        <f t="shared" si="166"/>
        <v>-</v>
      </c>
      <c r="BA29" s="52" t="str">
        <f t="shared" si="167"/>
        <v>-</v>
      </c>
      <c r="BB29" s="52" t="str">
        <f t="shared" si="168"/>
        <v>-</v>
      </c>
      <c r="BC29" s="52" t="str">
        <f t="shared" si="169"/>
        <v>-</v>
      </c>
      <c r="BD29" s="52" t="str">
        <f t="shared" si="170"/>
        <v>-</v>
      </c>
      <c r="BE29" s="53" t="str">
        <f t="shared" si="171"/>
        <v>-</v>
      </c>
      <c r="BF29" s="51" t="str">
        <f t="shared" si="172"/>
        <v>-</v>
      </c>
      <c r="BG29" s="52" t="str">
        <f t="shared" si="173"/>
        <v>-</v>
      </c>
      <c r="BH29" s="52" t="str">
        <f t="shared" si="174"/>
        <v>-</v>
      </c>
      <c r="BI29" s="52" t="str">
        <f t="shared" si="175"/>
        <v>-</v>
      </c>
      <c r="BJ29" s="52" t="str">
        <f t="shared" si="176"/>
        <v>-</v>
      </c>
      <c r="BK29" s="52" t="str">
        <f t="shared" si="177"/>
        <v>-</v>
      </c>
      <c r="BL29" s="52" t="str">
        <f t="shared" si="178"/>
        <v>-</v>
      </c>
      <c r="BM29" s="52" t="str">
        <f t="shared" si="179"/>
        <v>-</v>
      </c>
      <c r="BN29" s="52" t="str">
        <f t="shared" si="180"/>
        <v>-</v>
      </c>
      <c r="BO29" s="52" t="str">
        <f t="shared" si="181"/>
        <v>-</v>
      </c>
      <c r="BP29" s="52" t="str">
        <f t="shared" si="182"/>
        <v>-</v>
      </c>
      <c r="BQ29" s="52" t="str">
        <f t="shared" si="183"/>
        <v>-</v>
      </c>
      <c r="BR29" s="52" t="str">
        <f t="shared" si="184"/>
        <v>-</v>
      </c>
      <c r="BS29" s="52" t="str">
        <f t="shared" si="185"/>
        <v>-</v>
      </c>
      <c r="BT29" s="52" t="str">
        <f t="shared" si="186"/>
        <v>-</v>
      </c>
      <c r="BU29" s="52" t="str">
        <f t="shared" si="187"/>
        <v>-</v>
      </c>
      <c r="BV29" s="52" t="str">
        <f t="shared" si="188"/>
        <v>-</v>
      </c>
      <c r="BW29" s="53" t="str">
        <f t="shared" si="189"/>
        <v>-</v>
      </c>
      <c r="BX29" s="51" t="str">
        <f t="shared" si="190"/>
        <v>-</v>
      </c>
      <c r="BY29" s="52" t="str">
        <f t="shared" si="191"/>
        <v>-</v>
      </c>
      <c r="BZ29" s="52" t="str">
        <f t="shared" si="192"/>
        <v>-</v>
      </c>
      <c r="CA29" s="52" t="str">
        <f t="shared" si="193"/>
        <v>-</v>
      </c>
      <c r="CB29" s="52" t="str">
        <f t="shared" si="194"/>
        <v>-</v>
      </c>
      <c r="CC29" s="52" t="str">
        <f t="shared" si="195"/>
        <v>-</v>
      </c>
      <c r="CD29" s="52" t="str">
        <f t="shared" si="196"/>
        <v>-</v>
      </c>
      <c r="CE29" s="52" t="str">
        <f t="shared" si="197"/>
        <v>-</v>
      </c>
      <c r="CF29" s="52" t="str">
        <f t="shared" si="198"/>
        <v>-</v>
      </c>
      <c r="CG29" s="52" t="str">
        <f t="shared" si="199"/>
        <v>-</v>
      </c>
      <c r="CH29" s="52" t="str">
        <f t="shared" si="200"/>
        <v>-</v>
      </c>
      <c r="CI29" s="52" t="str">
        <f t="shared" si="201"/>
        <v>-</v>
      </c>
      <c r="CJ29" s="52" t="str">
        <f t="shared" si="202"/>
        <v>-</v>
      </c>
      <c r="CK29" s="52" t="str">
        <f t="shared" si="203"/>
        <v>-</v>
      </c>
      <c r="CL29" s="52" t="str">
        <f t="shared" si="204"/>
        <v>-</v>
      </c>
      <c r="CM29" s="52" t="str">
        <f t="shared" si="205"/>
        <v>-</v>
      </c>
      <c r="CN29" s="52" t="str">
        <f t="shared" si="206"/>
        <v>-</v>
      </c>
      <c r="CO29" s="53" t="str">
        <f t="shared" si="207"/>
        <v>-</v>
      </c>
      <c r="CQ29" s="305" t="str">
        <f t="shared" si="126"/>
        <v>-</v>
      </c>
      <c r="CR29" s="305">
        <f t="shared" si="127"/>
        <v>38.26</v>
      </c>
      <c r="CS29" s="305" t="str">
        <f t="shared" si="128"/>
        <v>-</v>
      </c>
      <c r="CT29" s="305" t="str">
        <f t="shared" si="129"/>
        <v>-</v>
      </c>
      <c r="CU29" s="305" t="str">
        <f t="shared" si="130"/>
        <v>-</v>
      </c>
      <c r="CV29" s="305" t="str">
        <f t="shared" si="131"/>
        <v>-</v>
      </c>
      <c r="CX29" s="51" t="str">
        <f t="shared" si="72"/>
        <v>-</v>
      </c>
      <c r="CY29" s="52">
        <f t="shared" si="73"/>
        <v>37.06</v>
      </c>
      <c r="CZ29" s="53" t="str">
        <f t="shared" si="74"/>
        <v>-</v>
      </c>
      <c r="DA29" s="51" t="str">
        <f t="shared" si="75"/>
        <v>-</v>
      </c>
      <c r="DB29" s="52" t="str">
        <f t="shared" si="76"/>
        <v>-</v>
      </c>
      <c r="DC29" s="53" t="str">
        <f t="shared" si="77"/>
        <v>-</v>
      </c>
      <c r="DD29" s="57"/>
      <c r="DE29" s="106" t="str">
        <f t="shared" si="78"/>
        <v>-</v>
      </c>
      <c r="DF29" s="107" t="str">
        <f t="shared" si="79"/>
        <v>-</v>
      </c>
      <c r="DG29" s="107" t="str">
        <f t="shared" si="80"/>
        <v>-</v>
      </c>
      <c r="DH29" s="107" t="str">
        <f t="shared" si="81"/>
        <v>-</v>
      </c>
      <c r="DI29" s="107" t="str">
        <f t="shared" si="82"/>
        <v>-</v>
      </c>
      <c r="DJ29" s="107" t="str">
        <f t="shared" si="83"/>
        <v>-</v>
      </c>
      <c r="DK29" s="107" t="str">
        <f t="shared" si="84"/>
        <v>-</v>
      </c>
      <c r="DL29" s="107" t="str">
        <f t="shared" si="85"/>
        <v>-</v>
      </c>
      <c r="DM29" s="108" t="str">
        <f t="shared" si="86"/>
        <v>-</v>
      </c>
      <c r="DO29" s="106" t="str">
        <f t="shared" si="87"/>
        <v>-</v>
      </c>
      <c r="DP29" s="107" t="str">
        <f t="shared" si="88"/>
        <v>-</v>
      </c>
      <c r="DQ29" s="107" t="str">
        <f t="shared" si="89"/>
        <v>-</v>
      </c>
      <c r="DR29" s="107" t="str">
        <f t="shared" si="90"/>
        <v>-</v>
      </c>
      <c r="DS29" s="107" t="str">
        <f t="shared" si="91"/>
        <v>-</v>
      </c>
      <c r="DT29" s="107" t="str">
        <f t="shared" si="92"/>
        <v>-</v>
      </c>
      <c r="DU29" s="107" t="str">
        <f t="shared" si="93"/>
        <v>-</v>
      </c>
      <c r="DV29" s="107" t="str">
        <f t="shared" si="94"/>
        <v>-</v>
      </c>
      <c r="DW29" s="108" t="str">
        <f t="shared" si="95"/>
        <v>-</v>
      </c>
      <c r="DX29" s="109" t="str">
        <f t="shared" si="96"/>
        <v>-</v>
      </c>
      <c r="DY29" s="110" t="str">
        <f t="shared" si="97"/>
        <v>-</v>
      </c>
      <c r="DZ29" s="110" t="str">
        <f t="shared" si="98"/>
        <v>-</v>
      </c>
      <c r="EA29" s="110">
        <f t="shared" si="99"/>
        <v>38.26</v>
      </c>
      <c r="EB29" s="110" t="str">
        <f t="shared" si="100"/>
        <v>-</v>
      </c>
      <c r="EC29" s="110" t="str">
        <f t="shared" si="101"/>
        <v>-</v>
      </c>
      <c r="ED29" s="110" t="str">
        <f t="shared" si="102"/>
        <v>-</v>
      </c>
      <c r="EE29" s="110" t="str">
        <f t="shared" si="103"/>
        <v>-</v>
      </c>
      <c r="EF29" s="111" t="str">
        <f t="shared" si="104"/>
        <v>-</v>
      </c>
      <c r="EG29" s="109" t="str">
        <f t="shared" si="105"/>
        <v>-</v>
      </c>
      <c r="EH29" s="110" t="str">
        <f t="shared" si="106"/>
        <v>-</v>
      </c>
      <c r="EI29" s="110" t="str">
        <f t="shared" si="107"/>
        <v>-</v>
      </c>
      <c r="EJ29" s="110" t="str">
        <f t="shared" si="108"/>
        <v>-</v>
      </c>
      <c r="EK29" s="110" t="str">
        <f t="shared" si="109"/>
        <v>-</v>
      </c>
      <c r="EL29" s="110" t="str">
        <f t="shared" si="110"/>
        <v>-</v>
      </c>
      <c r="EM29" s="110" t="str">
        <f t="shared" si="111"/>
        <v>-</v>
      </c>
      <c r="EN29" s="110" t="str">
        <f t="shared" si="112"/>
        <v>-</v>
      </c>
      <c r="EO29" s="111" t="str">
        <f t="shared" si="113"/>
        <v>-</v>
      </c>
      <c r="EQ29" s="118">
        <f t="shared" si="114"/>
        <v>37.06</v>
      </c>
      <c r="ER29" s="119" t="str">
        <f t="shared" si="115"/>
        <v>-</v>
      </c>
      <c r="ES29" s="120" t="str">
        <f t="shared" si="116"/>
        <v>-</v>
      </c>
      <c r="ET29" s="90">
        <v>2</v>
      </c>
      <c r="EU29" s="118">
        <f t="shared" si="117"/>
        <v>2</v>
      </c>
      <c r="EV29" s="119" t="str">
        <f t="shared" si="118"/>
        <v>-</v>
      </c>
      <c r="EW29" s="120" t="str">
        <f t="shared" si="119"/>
        <v>-</v>
      </c>
    </row>
    <row r="30" spans="1:153" ht="15.75" thickBot="1" x14ac:dyDescent="0.3">
      <c r="A30" s="41"/>
      <c r="B30" s="171" t="s">
        <v>527</v>
      </c>
      <c r="C30" s="171" t="s">
        <v>468</v>
      </c>
      <c r="D30" s="42">
        <f>VLOOKUP(B30,'BASE DE DATOS'!$B$3:$E$106,2,FALSE)</f>
        <v>35.69</v>
      </c>
      <c r="E30" s="42">
        <f>VLOOKUP(B30,'BASE DE DATOS'!$B$3:$E$106,4,FALSE)</f>
        <v>1.3900000000000006</v>
      </c>
      <c r="F30" s="42">
        <f>VLOOKUP(C30,'BASE DE DATOS'!$B$3:$E$106,2,FALSE)</f>
        <v>35.729999999999997</v>
      </c>
      <c r="G30" s="42">
        <f>VLOOKUP(C30,'BASE DE DATOS'!$B$3:$E$106,4,FALSE)</f>
        <v>1.7299999999999969</v>
      </c>
      <c r="H30" s="43">
        <f t="shared" si="135"/>
        <v>1.5599999999999987</v>
      </c>
      <c r="I30" s="171">
        <v>48.47</v>
      </c>
      <c r="J30" s="44">
        <f t="shared" si="132"/>
        <v>48.47</v>
      </c>
      <c r="K30" s="40">
        <f t="shared" si="133"/>
        <v>46.87</v>
      </c>
      <c r="L30" s="40">
        <f t="shared" si="134"/>
        <v>47.27</v>
      </c>
      <c r="M30" s="40">
        <f t="shared" si="124"/>
        <v>200</v>
      </c>
      <c r="N30" s="40">
        <f t="shared" si="125"/>
        <v>48.47</v>
      </c>
      <c r="O30" s="171" t="s">
        <v>120</v>
      </c>
      <c r="P30" s="19">
        <v>187.6</v>
      </c>
      <c r="Q30" s="171" t="s">
        <v>123</v>
      </c>
      <c r="R30" s="171" t="s">
        <v>133</v>
      </c>
      <c r="S30" s="171" t="s">
        <v>147</v>
      </c>
      <c r="T30" s="171" t="s">
        <v>146</v>
      </c>
      <c r="V30" s="51" t="str">
        <f t="shared" si="136"/>
        <v>-</v>
      </c>
      <c r="W30" s="52" t="str">
        <f t="shared" si="137"/>
        <v>-</v>
      </c>
      <c r="X30" s="52" t="str">
        <f t="shared" si="138"/>
        <v>-</v>
      </c>
      <c r="Y30" s="52" t="str">
        <f t="shared" si="139"/>
        <v>-</v>
      </c>
      <c r="Z30" s="52" t="str">
        <f t="shared" si="140"/>
        <v>-</v>
      </c>
      <c r="AA30" s="52">
        <f t="shared" si="141"/>
        <v>46.87</v>
      </c>
      <c r="AB30" s="52" t="str">
        <f t="shared" si="142"/>
        <v>-</v>
      </c>
      <c r="AC30" s="52" t="str">
        <f t="shared" si="143"/>
        <v>-</v>
      </c>
      <c r="AD30" s="52" t="str">
        <f t="shared" si="144"/>
        <v>-</v>
      </c>
      <c r="AE30" s="52" t="str">
        <f t="shared" si="145"/>
        <v>-</v>
      </c>
      <c r="AF30" s="52" t="str">
        <f t="shared" si="146"/>
        <v>-</v>
      </c>
      <c r="AG30" s="52" t="str">
        <f t="shared" si="147"/>
        <v>-</v>
      </c>
      <c r="AH30" s="52" t="str">
        <f t="shared" si="148"/>
        <v>-</v>
      </c>
      <c r="AI30" s="52" t="str">
        <f t="shared" si="149"/>
        <v>-</v>
      </c>
      <c r="AJ30" s="52" t="str">
        <f t="shared" si="150"/>
        <v>-</v>
      </c>
      <c r="AK30" s="52" t="str">
        <f t="shared" si="151"/>
        <v>-</v>
      </c>
      <c r="AL30" s="52" t="str">
        <f t="shared" si="152"/>
        <v>-</v>
      </c>
      <c r="AM30" s="53" t="str">
        <f t="shared" si="153"/>
        <v>-</v>
      </c>
      <c r="AN30" s="51" t="str">
        <f t="shared" si="154"/>
        <v>-</v>
      </c>
      <c r="AO30" s="52" t="str">
        <f t="shared" si="155"/>
        <v>-</v>
      </c>
      <c r="AP30" s="52" t="str">
        <f t="shared" si="156"/>
        <v>-</v>
      </c>
      <c r="AQ30" s="52" t="str">
        <f t="shared" si="157"/>
        <v>-</v>
      </c>
      <c r="AR30" s="52" t="str">
        <f t="shared" si="158"/>
        <v>-</v>
      </c>
      <c r="AS30" s="52" t="str">
        <f t="shared" si="159"/>
        <v>-</v>
      </c>
      <c r="AT30" s="52" t="str">
        <f t="shared" si="160"/>
        <v>-</v>
      </c>
      <c r="AU30" s="52" t="str">
        <f t="shared" si="161"/>
        <v>-</v>
      </c>
      <c r="AV30" s="52" t="str">
        <f t="shared" si="162"/>
        <v>-</v>
      </c>
      <c r="AW30" s="52" t="str">
        <f t="shared" si="163"/>
        <v>-</v>
      </c>
      <c r="AX30" s="52" t="str">
        <f t="shared" si="164"/>
        <v>-</v>
      </c>
      <c r="AY30" s="52" t="str">
        <f t="shared" si="165"/>
        <v>-</v>
      </c>
      <c r="AZ30" s="52" t="str">
        <f t="shared" si="166"/>
        <v>-</v>
      </c>
      <c r="BA30" s="52" t="str">
        <f t="shared" si="167"/>
        <v>-</v>
      </c>
      <c r="BB30" s="52" t="str">
        <f t="shared" si="168"/>
        <v>-</v>
      </c>
      <c r="BC30" s="52" t="str">
        <f t="shared" si="169"/>
        <v>-</v>
      </c>
      <c r="BD30" s="52" t="str">
        <f t="shared" si="170"/>
        <v>-</v>
      </c>
      <c r="BE30" s="53" t="str">
        <f t="shared" si="171"/>
        <v>-</v>
      </c>
      <c r="BF30" s="51" t="str">
        <f t="shared" si="172"/>
        <v>-</v>
      </c>
      <c r="BG30" s="52" t="str">
        <f t="shared" si="173"/>
        <v>-</v>
      </c>
      <c r="BH30" s="52" t="str">
        <f t="shared" si="174"/>
        <v>-</v>
      </c>
      <c r="BI30" s="52" t="str">
        <f t="shared" si="175"/>
        <v>-</v>
      </c>
      <c r="BJ30" s="52" t="str">
        <f t="shared" si="176"/>
        <v>-</v>
      </c>
      <c r="BK30" s="52" t="str">
        <f t="shared" si="177"/>
        <v>-</v>
      </c>
      <c r="BL30" s="52" t="str">
        <f t="shared" si="178"/>
        <v>-</v>
      </c>
      <c r="BM30" s="52" t="str">
        <f t="shared" si="179"/>
        <v>-</v>
      </c>
      <c r="BN30" s="52" t="str">
        <f t="shared" si="180"/>
        <v>-</v>
      </c>
      <c r="BO30" s="52" t="str">
        <f t="shared" si="181"/>
        <v>-</v>
      </c>
      <c r="BP30" s="52" t="str">
        <f t="shared" si="182"/>
        <v>-</v>
      </c>
      <c r="BQ30" s="52" t="str">
        <f t="shared" si="183"/>
        <v>-</v>
      </c>
      <c r="BR30" s="52" t="str">
        <f t="shared" si="184"/>
        <v>-</v>
      </c>
      <c r="BS30" s="52" t="str">
        <f t="shared" si="185"/>
        <v>-</v>
      </c>
      <c r="BT30" s="52" t="str">
        <f t="shared" si="186"/>
        <v>-</v>
      </c>
      <c r="BU30" s="52" t="str">
        <f t="shared" si="187"/>
        <v>-</v>
      </c>
      <c r="BV30" s="52" t="str">
        <f t="shared" si="188"/>
        <v>-</v>
      </c>
      <c r="BW30" s="53" t="str">
        <f t="shared" si="189"/>
        <v>-</v>
      </c>
      <c r="BX30" s="51" t="str">
        <f t="shared" si="190"/>
        <v>-</v>
      </c>
      <c r="BY30" s="52" t="str">
        <f t="shared" si="191"/>
        <v>-</v>
      </c>
      <c r="BZ30" s="52" t="str">
        <f t="shared" si="192"/>
        <v>-</v>
      </c>
      <c r="CA30" s="52" t="str">
        <f t="shared" si="193"/>
        <v>-</v>
      </c>
      <c r="CB30" s="52" t="str">
        <f t="shared" si="194"/>
        <v>-</v>
      </c>
      <c r="CC30" s="52" t="str">
        <f t="shared" si="195"/>
        <v>-</v>
      </c>
      <c r="CD30" s="52" t="str">
        <f t="shared" si="196"/>
        <v>-</v>
      </c>
      <c r="CE30" s="52" t="str">
        <f t="shared" si="197"/>
        <v>-</v>
      </c>
      <c r="CF30" s="52" t="str">
        <f t="shared" si="198"/>
        <v>-</v>
      </c>
      <c r="CG30" s="52" t="str">
        <f t="shared" si="199"/>
        <v>-</v>
      </c>
      <c r="CH30" s="52" t="str">
        <f t="shared" si="200"/>
        <v>-</v>
      </c>
      <c r="CI30" s="52" t="str">
        <f t="shared" si="201"/>
        <v>-</v>
      </c>
      <c r="CJ30" s="52" t="str">
        <f t="shared" si="202"/>
        <v>-</v>
      </c>
      <c r="CK30" s="52" t="str">
        <f t="shared" si="203"/>
        <v>-</v>
      </c>
      <c r="CL30" s="52" t="str">
        <f t="shared" si="204"/>
        <v>-</v>
      </c>
      <c r="CM30" s="52" t="str">
        <f t="shared" si="205"/>
        <v>-</v>
      </c>
      <c r="CN30" s="52" t="str">
        <f t="shared" si="206"/>
        <v>-</v>
      </c>
      <c r="CO30" s="53" t="str">
        <f t="shared" si="207"/>
        <v>-</v>
      </c>
      <c r="CQ30" s="305" t="str">
        <f t="shared" si="126"/>
        <v>-</v>
      </c>
      <c r="CR30" s="305">
        <f t="shared" si="127"/>
        <v>48.47</v>
      </c>
      <c r="CS30" s="305" t="str">
        <f t="shared" si="128"/>
        <v>-</v>
      </c>
      <c r="CT30" s="305" t="str">
        <f t="shared" si="129"/>
        <v>-</v>
      </c>
      <c r="CU30" s="305" t="str">
        <f t="shared" si="130"/>
        <v>-</v>
      </c>
      <c r="CV30" s="305" t="str">
        <f t="shared" si="131"/>
        <v>-</v>
      </c>
      <c r="CX30" s="51" t="str">
        <f t="shared" si="72"/>
        <v>-</v>
      </c>
      <c r="CY30" s="52">
        <f t="shared" si="73"/>
        <v>47.27</v>
      </c>
      <c r="CZ30" s="53" t="str">
        <f t="shared" si="74"/>
        <v>-</v>
      </c>
      <c r="DA30" s="51" t="str">
        <f t="shared" si="75"/>
        <v>-</v>
      </c>
      <c r="DB30" s="52" t="str">
        <f t="shared" si="76"/>
        <v>-</v>
      </c>
      <c r="DC30" s="53" t="str">
        <f t="shared" si="77"/>
        <v>-</v>
      </c>
      <c r="DD30" s="57"/>
      <c r="DE30" s="106" t="str">
        <f t="shared" si="78"/>
        <v>-</v>
      </c>
      <c r="DF30" s="107" t="str">
        <f t="shared" si="79"/>
        <v>-</v>
      </c>
      <c r="DG30" s="107" t="str">
        <f t="shared" si="80"/>
        <v>-</v>
      </c>
      <c r="DH30" s="107" t="str">
        <f t="shared" si="81"/>
        <v>-</v>
      </c>
      <c r="DI30" s="107" t="str">
        <f t="shared" si="82"/>
        <v>-</v>
      </c>
      <c r="DJ30" s="107" t="str">
        <f t="shared" si="83"/>
        <v>-</v>
      </c>
      <c r="DK30" s="107" t="str">
        <f t="shared" si="84"/>
        <v>-</v>
      </c>
      <c r="DL30" s="107" t="str">
        <f t="shared" si="85"/>
        <v>-</v>
      </c>
      <c r="DM30" s="108" t="str">
        <f t="shared" si="86"/>
        <v>-</v>
      </c>
      <c r="DO30" s="106" t="str">
        <f t="shared" si="87"/>
        <v>-</v>
      </c>
      <c r="DP30" s="107" t="str">
        <f t="shared" si="88"/>
        <v>-</v>
      </c>
      <c r="DQ30" s="107" t="str">
        <f t="shared" si="89"/>
        <v>-</v>
      </c>
      <c r="DR30" s="107" t="str">
        <f t="shared" si="90"/>
        <v>-</v>
      </c>
      <c r="DS30" s="107" t="str">
        <f t="shared" si="91"/>
        <v>-</v>
      </c>
      <c r="DT30" s="107" t="str">
        <f t="shared" si="92"/>
        <v>-</v>
      </c>
      <c r="DU30" s="107" t="str">
        <f t="shared" si="93"/>
        <v>-</v>
      </c>
      <c r="DV30" s="107" t="str">
        <f t="shared" si="94"/>
        <v>-</v>
      </c>
      <c r="DW30" s="108" t="str">
        <f t="shared" si="95"/>
        <v>-</v>
      </c>
      <c r="DX30" s="109" t="str">
        <f t="shared" si="96"/>
        <v>-</v>
      </c>
      <c r="DY30" s="110" t="str">
        <f t="shared" si="97"/>
        <v>-</v>
      </c>
      <c r="DZ30" s="110" t="str">
        <f t="shared" si="98"/>
        <v>-</v>
      </c>
      <c r="EA30" s="110">
        <f t="shared" si="99"/>
        <v>48.47</v>
      </c>
      <c r="EB30" s="110" t="str">
        <f t="shared" si="100"/>
        <v>-</v>
      </c>
      <c r="EC30" s="110" t="str">
        <f t="shared" si="101"/>
        <v>-</v>
      </c>
      <c r="ED30" s="110" t="str">
        <f t="shared" si="102"/>
        <v>-</v>
      </c>
      <c r="EE30" s="110" t="str">
        <f t="shared" si="103"/>
        <v>-</v>
      </c>
      <c r="EF30" s="111" t="str">
        <f t="shared" si="104"/>
        <v>-</v>
      </c>
      <c r="EG30" s="109" t="str">
        <f t="shared" si="105"/>
        <v>-</v>
      </c>
      <c r="EH30" s="110" t="str">
        <f t="shared" si="106"/>
        <v>-</v>
      </c>
      <c r="EI30" s="110" t="str">
        <f t="shared" si="107"/>
        <v>-</v>
      </c>
      <c r="EJ30" s="110" t="str">
        <f t="shared" si="108"/>
        <v>-</v>
      </c>
      <c r="EK30" s="110" t="str">
        <f t="shared" si="109"/>
        <v>-</v>
      </c>
      <c r="EL30" s="110" t="str">
        <f t="shared" si="110"/>
        <v>-</v>
      </c>
      <c r="EM30" s="110" t="str">
        <f t="shared" si="111"/>
        <v>-</v>
      </c>
      <c r="EN30" s="110" t="str">
        <f t="shared" si="112"/>
        <v>-</v>
      </c>
      <c r="EO30" s="111" t="str">
        <f t="shared" si="113"/>
        <v>-</v>
      </c>
      <c r="EQ30" s="118">
        <f t="shared" si="114"/>
        <v>47.27</v>
      </c>
      <c r="ER30" s="119" t="str">
        <f t="shared" si="115"/>
        <v>-</v>
      </c>
      <c r="ES30" s="120" t="str">
        <f t="shared" si="116"/>
        <v>-</v>
      </c>
      <c r="ET30" s="90">
        <v>2</v>
      </c>
      <c r="EU30" s="118">
        <f t="shared" si="117"/>
        <v>2</v>
      </c>
      <c r="EV30" s="119" t="str">
        <f t="shared" si="118"/>
        <v>-</v>
      </c>
      <c r="EW30" s="120" t="str">
        <f t="shared" si="119"/>
        <v>-</v>
      </c>
    </row>
    <row r="31" spans="1:153" ht="15.75" thickBot="1" x14ac:dyDescent="0.3">
      <c r="A31" s="41"/>
      <c r="B31" s="171" t="s">
        <v>468</v>
      </c>
      <c r="C31" s="171" t="s">
        <v>469</v>
      </c>
      <c r="D31" s="42">
        <f>VLOOKUP(B31,'BASE DE DATOS'!$B$3:$E$106,2,FALSE)</f>
        <v>35.729999999999997</v>
      </c>
      <c r="E31" s="42">
        <f>VLOOKUP(B31,'BASE DE DATOS'!$B$3:$E$106,4,FALSE)</f>
        <v>1.7299999999999969</v>
      </c>
      <c r="F31" s="42">
        <f>VLOOKUP(C31,'BASE DE DATOS'!$B$3:$E$106,2,FALSE)</f>
        <v>35.47</v>
      </c>
      <c r="G31" s="42">
        <f>VLOOKUP(C31,'BASE DE DATOS'!$B$3:$E$106,4,FALSE)</f>
        <v>1.769999999999996</v>
      </c>
      <c r="H31" s="43">
        <f t="shared" si="135"/>
        <v>1.7499999999999964</v>
      </c>
      <c r="I31" s="171">
        <v>46.03</v>
      </c>
      <c r="J31" s="44">
        <f t="shared" si="132"/>
        <v>46.03</v>
      </c>
      <c r="K31" s="40">
        <f t="shared" si="133"/>
        <v>44.43</v>
      </c>
      <c r="L31" s="40">
        <f t="shared" si="134"/>
        <v>44.83</v>
      </c>
      <c r="M31" s="44">
        <f t="shared" si="124"/>
        <v>200</v>
      </c>
      <c r="N31" s="40">
        <f t="shared" si="125"/>
        <v>46.03</v>
      </c>
      <c r="O31" s="171" t="s">
        <v>120</v>
      </c>
      <c r="P31" s="19">
        <v>187.6</v>
      </c>
      <c r="Q31" s="171" t="s">
        <v>123</v>
      </c>
      <c r="R31" s="171" t="s">
        <v>133</v>
      </c>
      <c r="S31" s="171" t="s">
        <v>147</v>
      </c>
      <c r="T31" s="171" t="s">
        <v>146</v>
      </c>
      <c r="V31" s="51" t="str">
        <f t="shared" si="136"/>
        <v>-</v>
      </c>
      <c r="W31" s="52" t="str">
        <f t="shared" si="137"/>
        <v>-</v>
      </c>
      <c r="X31" s="52" t="str">
        <f t="shared" si="138"/>
        <v>-</v>
      </c>
      <c r="Y31" s="52" t="str">
        <f t="shared" si="139"/>
        <v>-</v>
      </c>
      <c r="Z31" s="52" t="str">
        <f t="shared" si="140"/>
        <v>-</v>
      </c>
      <c r="AA31" s="52">
        <f t="shared" si="141"/>
        <v>44.43</v>
      </c>
      <c r="AB31" s="52" t="str">
        <f t="shared" si="142"/>
        <v>-</v>
      </c>
      <c r="AC31" s="52" t="str">
        <f t="shared" si="143"/>
        <v>-</v>
      </c>
      <c r="AD31" s="52" t="str">
        <f t="shared" si="144"/>
        <v>-</v>
      </c>
      <c r="AE31" s="52" t="str">
        <f t="shared" si="145"/>
        <v>-</v>
      </c>
      <c r="AF31" s="52" t="str">
        <f t="shared" si="146"/>
        <v>-</v>
      </c>
      <c r="AG31" s="52" t="str">
        <f t="shared" si="147"/>
        <v>-</v>
      </c>
      <c r="AH31" s="52" t="str">
        <f t="shared" si="148"/>
        <v>-</v>
      </c>
      <c r="AI31" s="52" t="str">
        <f t="shared" si="149"/>
        <v>-</v>
      </c>
      <c r="AJ31" s="52" t="str">
        <f t="shared" si="150"/>
        <v>-</v>
      </c>
      <c r="AK31" s="52" t="str">
        <f t="shared" si="151"/>
        <v>-</v>
      </c>
      <c r="AL31" s="52" t="str">
        <f t="shared" si="152"/>
        <v>-</v>
      </c>
      <c r="AM31" s="53" t="str">
        <f t="shared" si="153"/>
        <v>-</v>
      </c>
      <c r="AN31" s="51" t="str">
        <f t="shared" si="154"/>
        <v>-</v>
      </c>
      <c r="AO31" s="52" t="str">
        <f t="shared" si="155"/>
        <v>-</v>
      </c>
      <c r="AP31" s="52" t="str">
        <f t="shared" si="156"/>
        <v>-</v>
      </c>
      <c r="AQ31" s="52" t="str">
        <f t="shared" si="157"/>
        <v>-</v>
      </c>
      <c r="AR31" s="52" t="str">
        <f t="shared" si="158"/>
        <v>-</v>
      </c>
      <c r="AS31" s="52" t="str">
        <f t="shared" si="159"/>
        <v>-</v>
      </c>
      <c r="AT31" s="52" t="str">
        <f t="shared" si="160"/>
        <v>-</v>
      </c>
      <c r="AU31" s="52" t="str">
        <f t="shared" si="161"/>
        <v>-</v>
      </c>
      <c r="AV31" s="52" t="str">
        <f t="shared" si="162"/>
        <v>-</v>
      </c>
      <c r="AW31" s="52" t="str">
        <f t="shared" si="163"/>
        <v>-</v>
      </c>
      <c r="AX31" s="52" t="str">
        <f t="shared" si="164"/>
        <v>-</v>
      </c>
      <c r="AY31" s="52" t="str">
        <f t="shared" si="165"/>
        <v>-</v>
      </c>
      <c r="AZ31" s="52" t="str">
        <f t="shared" si="166"/>
        <v>-</v>
      </c>
      <c r="BA31" s="52" t="str">
        <f t="shared" si="167"/>
        <v>-</v>
      </c>
      <c r="BB31" s="52" t="str">
        <f t="shared" si="168"/>
        <v>-</v>
      </c>
      <c r="BC31" s="52" t="str">
        <f t="shared" si="169"/>
        <v>-</v>
      </c>
      <c r="BD31" s="52" t="str">
        <f t="shared" si="170"/>
        <v>-</v>
      </c>
      <c r="BE31" s="53" t="str">
        <f t="shared" si="171"/>
        <v>-</v>
      </c>
      <c r="BF31" s="51" t="str">
        <f t="shared" si="172"/>
        <v>-</v>
      </c>
      <c r="BG31" s="52" t="str">
        <f t="shared" si="173"/>
        <v>-</v>
      </c>
      <c r="BH31" s="52" t="str">
        <f t="shared" si="174"/>
        <v>-</v>
      </c>
      <c r="BI31" s="52" t="str">
        <f t="shared" si="175"/>
        <v>-</v>
      </c>
      <c r="BJ31" s="52" t="str">
        <f t="shared" si="176"/>
        <v>-</v>
      </c>
      <c r="BK31" s="52" t="str">
        <f t="shared" si="177"/>
        <v>-</v>
      </c>
      <c r="BL31" s="52" t="str">
        <f t="shared" si="178"/>
        <v>-</v>
      </c>
      <c r="BM31" s="52" t="str">
        <f t="shared" si="179"/>
        <v>-</v>
      </c>
      <c r="BN31" s="52" t="str">
        <f t="shared" si="180"/>
        <v>-</v>
      </c>
      <c r="BO31" s="52" t="str">
        <f t="shared" si="181"/>
        <v>-</v>
      </c>
      <c r="BP31" s="52" t="str">
        <f t="shared" si="182"/>
        <v>-</v>
      </c>
      <c r="BQ31" s="52" t="str">
        <f t="shared" si="183"/>
        <v>-</v>
      </c>
      <c r="BR31" s="52" t="str">
        <f t="shared" si="184"/>
        <v>-</v>
      </c>
      <c r="BS31" s="52" t="str">
        <f t="shared" si="185"/>
        <v>-</v>
      </c>
      <c r="BT31" s="52" t="str">
        <f t="shared" si="186"/>
        <v>-</v>
      </c>
      <c r="BU31" s="52" t="str">
        <f t="shared" si="187"/>
        <v>-</v>
      </c>
      <c r="BV31" s="52" t="str">
        <f t="shared" si="188"/>
        <v>-</v>
      </c>
      <c r="BW31" s="53" t="str">
        <f t="shared" si="189"/>
        <v>-</v>
      </c>
      <c r="BX31" s="51" t="str">
        <f t="shared" si="190"/>
        <v>-</v>
      </c>
      <c r="BY31" s="52" t="str">
        <f t="shared" si="191"/>
        <v>-</v>
      </c>
      <c r="BZ31" s="52" t="str">
        <f t="shared" si="192"/>
        <v>-</v>
      </c>
      <c r="CA31" s="52" t="str">
        <f t="shared" si="193"/>
        <v>-</v>
      </c>
      <c r="CB31" s="52" t="str">
        <f t="shared" si="194"/>
        <v>-</v>
      </c>
      <c r="CC31" s="52" t="str">
        <f t="shared" si="195"/>
        <v>-</v>
      </c>
      <c r="CD31" s="52" t="str">
        <f t="shared" si="196"/>
        <v>-</v>
      </c>
      <c r="CE31" s="52" t="str">
        <f t="shared" si="197"/>
        <v>-</v>
      </c>
      <c r="CF31" s="52" t="str">
        <f t="shared" si="198"/>
        <v>-</v>
      </c>
      <c r="CG31" s="52" t="str">
        <f t="shared" si="199"/>
        <v>-</v>
      </c>
      <c r="CH31" s="52" t="str">
        <f t="shared" si="200"/>
        <v>-</v>
      </c>
      <c r="CI31" s="52" t="str">
        <f t="shared" si="201"/>
        <v>-</v>
      </c>
      <c r="CJ31" s="52" t="str">
        <f t="shared" si="202"/>
        <v>-</v>
      </c>
      <c r="CK31" s="52" t="str">
        <f t="shared" si="203"/>
        <v>-</v>
      </c>
      <c r="CL31" s="52" t="str">
        <f t="shared" si="204"/>
        <v>-</v>
      </c>
      <c r="CM31" s="52" t="str">
        <f t="shared" si="205"/>
        <v>-</v>
      </c>
      <c r="CN31" s="52" t="str">
        <f t="shared" si="206"/>
        <v>-</v>
      </c>
      <c r="CO31" s="53" t="str">
        <f t="shared" si="207"/>
        <v>-</v>
      </c>
      <c r="CQ31" s="305" t="str">
        <f t="shared" si="126"/>
        <v>-</v>
      </c>
      <c r="CR31" s="305">
        <f t="shared" si="127"/>
        <v>46.03</v>
      </c>
      <c r="CS31" s="305" t="str">
        <f t="shared" si="128"/>
        <v>-</v>
      </c>
      <c r="CT31" s="305" t="str">
        <f t="shared" si="129"/>
        <v>-</v>
      </c>
      <c r="CU31" s="305" t="str">
        <f t="shared" si="130"/>
        <v>-</v>
      </c>
      <c r="CV31" s="305" t="str">
        <f t="shared" si="131"/>
        <v>-</v>
      </c>
      <c r="CX31" s="51" t="str">
        <f t="shared" si="72"/>
        <v>-</v>
      </c>
      <c r="CY31" s="52">
        <f t="shared" si="73"/>
        <v>44.83</v>
      </c>
      <c r="CZ31" s="53" t="str">
        <f t="shared" si="74"/>
        <v>-</v>
      </c>
      <c r="DA31" s="51" t="str">
        <f t="shared" si="75"/>
        <v>-</v>
      </c>
      <c r="DB31" s="52" t="str">
        <f t="shared" si="76"/>
        <v>-</v>
      </c>
      <c r="DC31" s="53" t="str">
        <f t="shared" si="77"/>
        <v>-</v>
      </c>
      <c r="DD31" s="57"/>
      <c r="DE31" s="106" t="str">
        <f t="shared" si="78"/>
        <v>-</v>
      </c>
      <c r="DF31" s="107" t="str">
        <f t="shared" si="79"/>
        <v>-</v>
      </c>
      <c r="DG31" s="107" t="str">
        <f t="shared" si="80"/>
        <v>-</v>
      </c>
      <c r="DH31" s="107" t="str">
        <f t="shared" si="81"/>
        <v>-</v>
      </c>
      <c r="DI31" s="107" t="str">
        <f t="shared" si="82"/>
        <v>-</v>
      </c>
      <c r="DJ31" s="107" t="str">
        <f t="shared" si="83"/>
        <v>-</v>
      </c>
      <c r="DK31" s="107" t="str">
        <f t="shared" si="84"/>
        <v>-</v>
      </c>
      <c r="DL31" s="107" t="str">
        <f t="shared" si="85"/>
        <v>-</v>
      </c>
      <c r="DM31" s="108" t="str">
        <f t="shared" si="86"/>
        <v>-</v>
      </c>
      <c r="DO31" s="106" t="str">
        <f t="shared" si="87"/>
        <v>-</v>
      </c>
      <c r="DP31" s="107" t="str">
        <f t="shared" si="88"/>
        <v>-</v>
      </c>
      <c r="DQ31" s="107" t="str">
        <f t="shared" si="89"/>
        <v>-</v>
      </c>
      <c r="DR31" s="107" t="str">
        <f t="shared" si="90"/>
        <v>-</v>
      </c>
      <c r="DS31" s="107" t="str">
        <f t="shared" si="91"/>
        <v>-</v>
      </c>
      <c r="DT31" s="107" t="str">
        <f t="shared" si="92"/>
        <v>-</v>
      </c>
      <c r="DU31" s="107" t="str">
        <f t="shared" si="93"/>
        <v>-</v>
      </c>
      <c r="DV31" s="107" t="str">
        <f t="shared" si="94"/>
        <v>-</v>
      </c>
      <c r="DW31" s="108" t="str">
        <f t="shared" si="95"/>
        <v>-</v>
      </c>
      <c r="DX31" s="109" t="str">
        <f t="shared" si="96"/>
        <v>-</v>
      </c>
      <c r="DY31" s="110" t="str">
        <f t="shared" si="97"/>
        <v>-</v>
      </c>
      <c r="DZ31" s="110" t="str">
        <f t="shared" si="98"/>
        <v>-</v>
      </c>
      <c r="EA31" s="110">
        <f t="shared" si="99"/>
        <v>46.03</v>
      </c>
      <c r="EB31" s="110" t="str">
        <f t="shared" si="100"/>
        <v>-</v>
      </c>
      <c r="EC31" s="110" t="str">
        <f t="shared" si="101"/>
        <v>-</v>
      </c>
      <c r="ED31" s="110" t="str">
        <f t="shared" si="102"/>
        <v>-</v>
      </c>
      <c r="EE31" s="110" t="str">
        <f t="shared" si="103"/>
        <v>-</v>
      </c>
      <c r="EF31" s="111" t="str">
        <f t="shared" si="104"/>
        <v>-</v>
      </c>
      <c r="EG31" s="109" t="str">
        <f t="shared" si="105"/>
        <v>-</v>
      </c>
      <c r="EH31" s="110" t="str">
        <f t="shared" si="106"/>
        <v>-</v>
      </c>
      <c r="EI31" s="110" t="str">
        <f t="shared" si="107"/>
        <v>-</v>
      </c>
      <c r="EJ31" s="110" t="str">
        <f t="shared" si="108"/>
        <v>-</v>
      </c>
      <c r="EK31" s="110" t="str">
        <f t="shared" si="109"/>
        <v>-</v>
      </c>
      <c r="EL31" s="110" t="str">
        <f t="shared" si="110"/>
        <v>-</v>
      </c>
      <c r="EM31" s="110" t="str">
        <f t="shared" si="111"/>
        <v>-</v>
      </c>
      <c r="EN31" s="110" t="str">
        <f t="shared" si="112"/>
        <v>-</v>
      </c>
      <c r="EO31" s="111" t="str">
        <f t="shared" si="113"/>
        <v>-</v>
      </c>
      <c r="EQ31" s="118">
        <f t="shared" si="114"/>
        <v>44.83</v>
      </c>
      <c r="ER31" s="119" t="str">
        <f t="shared" si="115"/>
        <v>-</v>
      </c>
      <c r="ES31" s="120" t="str">
        <f t="shared" si="116"/>
        <v>-</v>
      </c>
      <c r="ET31" s="90">
        <v>2</v>
      </c>
      <c r="EU31" s="118">
        <f t="shared" si="117"/>
        <v>2</v>
      </c>
      <c r="EV31" s="119" t="str">
        <f t="shared" si="118"/>
        <v>-</v>
      </c>
      <c r="EW31" s="120" t="str">
        <f t="shared" si="119"/>
        <v>-</v>
      </c>
    </row>
    <row r="32" spans="1:153" ht="15.75" thickBot="1" x14ac:dyDescent="0.3">
      <c r="A32" s="41"/>
      <c r="B32" s="171" t="s">
        <v>469</v>
      </c>
      <c r="C32" s="171" t="s">
        <v>470</v>
      </c>
      <c r="D32" s="42">
        <f>VLOOKUP(B32,'BASE DE DATOS'!$B$3:$E$106,2,FALSE)</f>
        <v>35.47</v>
      </c>
      <c r="E32" s="42">
        <f>VLOOKUP(B32,'BASE DE DATOS'!$B$3:$E$106,4,FALSE)</f>
        <v>1.769999999999996</v>
      </c>
      <c r="F32" s="42">
        <f>VLOOKUP(C32,'BASE DE DATOS'!$B$3:$E$106,2,FALSE)</f>
        <v>35.51</v>
      </c>
      <c r="G32" s="42">
        <f>VLOOKUP(C32,'BASE DE DATOS'!$B$3:$E$106,4,FALSE)</f>
        <v>1.9399999999999977</v>
      </c>
      <c r="H32" s="43">
        <f t="shared" si="135"/>
        <v>1.8549999999999969</v>
      </c>
      <c r="I32" s="171">
        <v>21.57</v>
      </c>
      <c r="J32" s="44">
        <f t="shared" si="132"/>
        <v>21.57</v>
      </c>
      <c r="K32" s="40">
        <f t="shared" si="133"/>
        <v>19.97</v>
      </c>
      <c r="L32" s="40">
        <f t="shared" si="134"/>
        <v>20.37</v>
      </c>
      <c r="M32" s="44">
        <f t="shared" si="124"/>
        <v>200</v>
      </c>
      <c r="N32" s="40">
        <f t="shared" si="125"/>
        <v>21.57</v>
      </c>
      <c r="O32" s="171" t="s">
        <v>120</v>
      </c>
      <c r="P32" s="19">
        <v>187.6</v>
      </c>
      <c r="Q32" s="171" t="s">
        <v>123</v>
      </c>
      <c r="R32" s="171" t="s">
        <v>133</v>
      </c>
      <c r="S32" s="171" t="s">
        <v>147</v>
      </c>
      <c r="T32" s="171" t="s">
        <v>146</v>
      </c>
      <c r="V32" s="51" t="str">
        <f t="shared" si="136"/>
        <v>-</v>
      </c>
      <c r="W32" s="52" t="str">
        <f t="shared" si="137"/>
        <v>-</v>
      </c>
      <c r="X32" s="52" t="str">
        <f t="shared" si="138"/>
        <v>-</v>
      </c>
      <c r="Y32" s="52" t="str">
        <f t="shared" si="139"/>
        <v>-</v>
      </c>
      <c r="Z32" s="52" t="str">
        <f t="shared" si="140"/>
        <v>-</v>
      </c>
      <c r="AA32" s="52" t="str">
        <f t="shared" si="141"/>
        <v>-</v>
      </c>
      <c r="AB32" s="52" t="str">
        <f t="shared" si="142"/>
        <v>-</v>
      </c>
      <c r="AC32" s="52">
        <f t="shared" si="143"/>
        <v>19.97</v>
      </c>
      <c r="AD32" s="52" t="str">
        <f t="shared" si="144"/>
        <v>-</v>
      </c>
      <c r="AE32" s="52" t="str">
        <f t="shared" si="145"/>
        <v>-</v>
      </c>
      <c r="AF32" s="52" t="str">
        <f t="shared" si="146"/>
        <v>-</v>
      </c>
      <c r="AG32" s="52" t="str">
        <f t="shared" si="147"/>
        <v>-</v>
      </c>
      <c r="AH32" s="52" t="str">
        <f t="shared" si="148"/>
        <v>-</v>
      </c>
      <c r="AI32" s="52" t="str">
        <f t="shared" si="149"/>
        <v>-</v>
      </c>
      <c r="AJ32" s="52" t="str">
        <f t="shared" si="150"/>
        <v>-</v>
      </c>
      <c r="AK32" s="52" t="str">
        <f t="shared" si="151"/>
        <v>-</v>
      </c>
      <c r="AL32" s="52" t="str">
        <f t="shared" si="152"/>
        <v>-</v>
      </c>
      <c r="AM32" s="53" t="str">
        <f t="shared" si="153"/>
        <v>-</v>
      </c>
      <c r="AN32" s="51" t="str">
        <f t="shared" si="154"/>
        <v>-</v>
      </c>
      <c r="AO32" s="52" t="str">
        <f t="shared" si="155"/>
        <v>-</v>
      </c>
      <c r="AP32" s="52" t="str">
        <f t="shared" si="156"/>
        <v>-</v>
      </c>
      <c r="AQ32" s="52" t="str">
        <f t="shared" si="157"/>
        <v>-</v>
      </c>
      <c r="AR32" s="52" t="str">
        <f t="shared" si="158"/>
        <v>-</v>
      </c>
      <c r="AS32" s="52" t="str">
        <f t="shared" si="159"/>
        <v>-</v>
      </c>
      <c r="AT32" s="52" t="str">
        <f t="shared" si="160"/>
        <v>-</v>
      </c>
      <c r="AU32" s="52" t="str">
        <f t="shared" si="161"/>
        <v>-</v>
      </c>
      <c r="AV32" s="52" t="str">
        <f t="shared" si="162"/>
        <v>-</v>
      </c>
      <c r="AW32" s="52" t="str">
        <f t="shared" si="163"/>
        <v>-</v>
      </c>
      <c r="AX32" s="52" t="str">
        <f t="shared" si="164"/>
        <v>-</v>
      </c>
      <c r="AY32" s="52" t="str">
        <f t="shared" si="165"/>
        <v>-</v>
      </c>
      <c r="AZ32" s="52" t="str">
        <f t="shared" si="166"/>
        <v>-</v>
      </c>
      <c r="BA32" s="52" t="str">
        <f t="shared" si="167"/>
        <v>-</v>
      </c>
      <c r="BB32" s="52" t="str">
        <f t="shared" si="168"/>
        <v>-</v>
      </c>
      <c r="BC32" s="52" t="str">
        <f t="shared" si="169"/>
        <v>-</v>
      </c>
      <c r="BD32" s="52" t="str">
        <f t="shared" si="170"/>
        <v>-</v>
      </c>
      <c r="BE32" s="53" t="str">
        <f t="shared" si="171"/>
        <v>-</v>
      </c>
      <c r="BF32" s="51" t="str">
        <f t="shared" si="172"/>
        <v>-</v>
      </c>
      <c r="BG32" s="52" t="str">
        <f t="shared" si="173"/>
        <v>-</v>
      </c>
      <c r="BH32" s="52" t="str">
        <f t="shared" si="174"/>
        <v>-</v>
      </c>
      <c r="BI32" s="52" t="str">
        <f t="shared" si="175"/>
        <v>-</v>
      </c>
      <c r="BJ32" s="52" t="str">
        <f t="shared" si="176"/>
        <v>-</v>
      </c>
      <c r="BK32" s="52" t="str">
        <f t="shared" si="177"/>
        <v>-</v>
      </c>
      <c r="BL32" s="52" t="str">
        <f t="shared" si="178"/>
        <v>-</v>
      </c>
      <c r="BM32" s="52" t="str">
        <f t="shared" si="179"/>
        <v>-</v>
      </c>
      <c r="BN32" s="52" t="str">
        <f t="shared" si="180"/>
        <v>-</v>
      </c>
      <c r="BO32" s="52" t="str">
        <f t="shared" si="181"/>
        <v>-</v>
      </c>
      <c r="BP32" s="52" t="str">
        <f t="shared" si="182"/>
        <v>-</v>
      </c>
      <c r="BQ32" s="52" t="str">
        <f t="shared" si="183"/>
        <v>-</v>
      </c>
      <c r="BR32" s="52" t="str">
        <f t="shared" si="184"/>
        <v>-</v>
      </c>
      <c r="BS32" s="52" t="str">
        <f t="shared" si="185"/>
        <v>-</v>
      </c>
      <c r="BT32" s="52" t="str">
        <f t="shared" si="186"/>
        <v>-</v>
      </c>
      <c r="BU32" s="52" t="str">
        <f t="shared" si="187"/>
        <v>-</v>
      </c>
      <c r="BV32" s="52" t="str">
        <f t="shared" si="188"/>
        <v>-</v>
      </c>
      <c r="BW32" s="53" t="str">
        <f t="shared" si="189"/>
        <v>-</v>
      </c>
      <c r="BX32" s="51" t="str">
        <f t="shared" si="190"/>
        <v>-</v>
      </c>
      <c r="BY32" s="52" t="str">
        <f t="shared" si="191"/>
        <v>-</v>
      </c>
      <c r="BZ32" s="52" t="str">
        <f t="shared" si="192"/>
        <v>-</v>
      </c>
      <c r="CA32" s="52" t="str">
        <f t="shared" si="193"/>
        <v>-</v>
      </c>
      <c r="CB32" s="52" t="str">
        <f t="shared" si="194"/>
        <v>-</v>
      </c>
      <c r="CC32" s="52" t="str">
        <f t="shared" si="195"/>
        <v>-</v>
      </c>
      <c r="CD32" s="52" t="str">
        <f t="shared" si="196"/>
        <v>-</v>
      </c>
      <c r="CE32" s="52" t="str">
        <f t="shared" si="197"/>
        <v>-</v>
      </c>
      <c r="CF32" s="52" t="str">
        <f t="shared" si="198"/>
        <v>-</v>
      </c>
      <c r="CG32" s="52" t="str">
        <f t="shared" si="199"/>
        <v>-</v>
      </c>
      <c r="CH32" s="52" t="str">
        <f t="shared" si="200"/>
        <v>-</v>
      </c>
      <c r="CI32" s="52" t="str">
        <f t="shared" si="201"/>
        <v>-</v>
      </c>
      <c r="CJ32" s="52" t="str">
        <f t="shared" si="202"/>
        <v>-</v>
      </c>
      <c r="CK32" s="52" t="str">
        <f t="shared" si="203"/>
        <v>-</v>
      </c>
      <c r="CL32" s="52" t="str">
        <f t="shared" si="204"/>
        <v>-</v>
      </c>
      <c r="CM32" s="52" t="str">
        <f t="shared" si="205"/>
        <v>-</v>
      </c>
      <c r="CN32" s="52" t="str">
        <f t="shared" si="206"/>
        <v>-</v>
      </c>
      <c r="CO32" s="53" t="str">
        <f t="shared" si="207"/>
        <v>-</v>
      </c>
      <c r="CQ32" s="305" t="str">
        <f t="shared" si="126"/>
        <v>-</v>
      </c>
      <c r="CR32" s="305">
        <f t="shared" si="127"/>
        <v>21.57</v>
      </c>
      <c r="CS32" s="305" t="str">
        <f t="shared" si="128"/>
        <v>-</v>
      </c>
      <c r="CT32" s="305" t="str">
        <f t="shared" si="129"/>
        <v>-</v>
      </c>
      <c r="CU32" s="305" t="str">
        <f t="shared" si="130"/>
        <v>-</v>
      </c>
      <c r="CV32" s="305" t="str">
        <f t="shared" si="131"/>
        <v>-</v>
      </c>
      <c r="CX32" s="51" t="str">
        <f t="shared" si="72"/>
        <v>-</v>
      </c>
      <c r="CY32" s="52">
        <f t="shared" si="73"/>
        <v>20.37</v>
      </c>
      <c r="CZ32" s="53" t="str">
        <f t="shared" si="74"/>
        <v>-</v>
      </c>
      <c r="DA32" s="51" t="str">
        <f t="shared" si="75"/>
        <v>-</v>
      </c>
      <c r="DB32" s="52" t="str">
        <f t="shared" si="76"/>
        <v>-</v>
      </c>
      <c r="DC32" s="53" t="str">
        <f t="shared" si="77"/>
        <v>-</v>
      </c>
      <c r="DD32" s="57"/>
      <c r="DE32" s="106" t="str">
        <f t="shared" si="78"/>
        <v>-</v>
      </c>
      <c r="DF32" s="107" t="str">
        <f t="shared" si="79"/>
        <v>-</v>
      </c>
      <c r="DG32" s="107" t="str">
        <f t="shared" si="80"/>
        <v>-</v>
      </c>
      <c r="DH32" s="107" t="str">
        <f t="shared" si="81"/>
        <v>-</v>
      </c>
      <c r="DI32" s="107" t="str">
        <f t="shared" si="82"/>
        <v>-</v>
      </c>
      <c r="DJ32" s="107" t="str">
        <f t="shared" si="83"/>
        <v>-</v>
      </c>
      <c r="DK32" s="107" t="str">
        <f t="shared" si="84"/>
        <v>-</v>
      </c>
      <c r="DL32" s="107" t="str">
        <f t="shared" si="85"/>
        <v>-</v>
      </c>
      <c r="DM32" s="108" t="str">
        <f t="shared" si="86"/>
        <v>-</v>
      </c>
      <c r="DO32" s="106" t="str">
        <f t="shared" si="87"/>
        <v>-</v>
      </c>
      <c r="DP32" s="107" t="str">
        <f t="shared" si="88"/>
        <v>-</v>
      </c>
      <c r="DQ32" s="107" t="str">
        <f t="shared" si="89"/>
        <v>-</v>
      </c>
      <c r="DR32" s="107" t="str">
        <f t="shared" si="90"/>
        <v>-</v>
      </c>
      <c r="DS32" s="107" t="str">
        <f t="shared" si="91"/>
        <v>-</v>
      </c>
      <c r="DT32" s="107" t="str">
        <f t="shared" si="92"/>
        <v>-</v>
      </c>
      <c r="DU32" s="107" t="str">
        <f t="shared" si="93"/>
        <v>-</v>
      </c>
      <c r="DV32" s="107" t="str">
        <f t="shared" si="94"/>
        <v>-</v>
      </c>
      <c r="DW32" s="108" t="str">
        <f t="shared" si="95"/>
        <v>-</v>
      </c>
      <c r="DX32" s="109" t="str">
        <f t="shared" si="96"/>
        <v>-</v>
      </c>
      <c r="DY32" s="110" t="str">
        <f t="shared" si="97"/>
        <v>-</v>
      </c>
      <c r="DZ32" s="110" t="str">
        <f t="shared" si="98"/>
        <v>-</v>
      </c>
      <c r="EA32" s="110">
        <f t="shared" si="99"/>
        <v>21.57</v>
      </c>
      <c r="EB32" s="110" t="str">
        <f t="shared" si="100"/>
        <v>-</v>
      </c>
      <c r="EC32" s="110" t="str">
        <f t="shared" si="101"/>
        <v>-</v>
      </c>
      <c r="ED32" s="110" t="str">
        <f t="shared" si="102"/>
        <v>-</v>
      </c>
      <c r="EE32" s="110" t="str">
        <f t="shared" si="103"/>
        <v>-</v>
      </c>
      <c r="EF32" s="111" t="str">
        <f t="shared" si="104"/>
        <v>-</v>
      </c>
      <c r="EG32" s="109" t="str">
        <f t="shared" si="105"/>
        <v>-</v>
      </c>
      <c r="EH32" s="110" t="str">
        <f t="shared" si="106"/>
        <v>-</v>
      </c>
      <c r="EI32" s="110" t="str">
        <f t="shared" si="107"/>
        <v>-</v>
      </c>
      <c r="EJ32" s="110" t="str">
        <f t="shared" si="108"/>
        <v>-</v>
      </c>
      <c r="EK32" s="110" t="str">
        <f t="shared" si="109"/>
        <v>-</v>
      </c>
      <c r="EL32" s="110" t="str">
        <f t="shared" si="110"/>
        <v>-</v>
      </c>
      <c r="EM32" s="110" t="str">
        <f t="shared" si="111"/>
        <v>-</v>
      </c>
      <c r="EN32" s="110" t="str">
        <f t="shared" si="112"/>
        <v>-</v>
      </c>
      <c r="EO32" s="111" t="str">
        <f t="shared" si="113"/>
        <v>-</v>
      </c>
      <c r="EQ32" s="118">
        <f t="shared" si="114"/>
        <v>20.37</v>
      </c>
      <c r="ER32" s="119" t="str">
        <f t="shared" si="115"/>
        <v>-</v>
      </c>
      <c r="ES32" s="120" t="str">
        <f t="shared" si="116"/>
        <v>-</v>
      </c>
      <c r="ET32" s="90">
        <v>2</v>
      </c>
      <c r="EU32" s="118">
        <f t="shared" si="117"/>
        <v>2</v>
      </c>
      <c r="EV32" s="119" t="str">
        <f t="shared" si="118"/>
        <v>-</v>
      </c>
      <c r="EW32" s="120" t="str">
        <f t="shared" si="119"/>
        <v>-</v>
      </c>
    </row>
    <row r="33" spans="1:153" ht="15.75" thickBot="1" x14ac:dyDescent="0.3">
      <c r="A33" s="41"/>
      <c r="B33" s="171" t="s">
        <v>470</v>
      </c>
      <c r="C33" s="171" t="s">
        <v>471</v>
      </c>
      <c r="D33" s="42">
        <f>VLOOKUP(B33,'BASE DE DATOS'!$B$3:$E$106,2,FALSE)</f>
        <v>35.51</v>
      </c>
      <c r="E33" s="42">
        <f>VLOOKUP(B33,'BASE DE DATOS'!$B$3:$E$106,4,FALSE)</f>
        <v>1.9399999999999977</v>
      </c>
      <c r="F33" s="42">
        <f>VLOOKUP(C33,'BASE DE DATOS'!$B$3:$E$106,2,FALSE)</f>
        <v>34.51</v>
      </c>
      <c r="G33" s="42">
        <f>VLOOKUP(C33,'BASE DE DATOS'!$B$3:$E$106,4,FALSE)</f>
        <v>1.6199999999999974</v>
      </c>
      <c r="H33" s="43">
        <f t="shared" si="135"/>
        <v>1.7799999999999976</v>
      </c>
      <c r="I33" s="171">
        <v>49.3</v>
      </c>
      <c r="J33" s="44">
        <f t="shared" si="132"/>
        <v>49.3</v>
      </c>
      <c r="K33" s="40">
        <f t="shared" si="133"/>
        <v>47.7</v>
      </c>
      <c r="L33" s="40">
        <f t="shared" si="134"/>
        <v>48.1</v>
      </c>
      <c r="M33" s="44">
        <f t="shared" si="124"/>
        <v>200</v>
      </c>
      <c r="N33" s="40">
        <f t="shared" si="125"/>
        <v>49.31</v>
      </c>
      <c r="O33" s="171" t="s">
        <v>120</v>
      </c>
      <c r="P33" s="19">
        <v>187.6</v>
      </c>
      <c r="Q33" s="171" t="s">
        <v>123</v>
      </c>
      <c r="R33" s="171" t="s">
        <v>133</v>
      </c>
      <c r="S33" s="171" t="s">
        <v>147</v>
      </c>
      <c r="T33" s="171" t="s">
        <v>146</v>
      </c>
      <c r="V33" s="51" t="str">
        <f t="shared" si="136"/>
        <v>-</v>
      </c>
      <c r="W33" s="52" t="str">
        <f t="shared" si="137"/>
        <v>-</v>
      </c>
      <c r="X33" s="52" t="str">
        <f t="shared" si="138"/>
        <v>-</v>
      </c>
      <c r="Y33" s="52" t="str">
        <f t="shared" si="139"/>
        <v>-</v>
      </c>
      <c r="Z33" s="52" t="str">
        <f t="shared" si="140"/>
        <v>-</v>
      </c>
      <c r="AA33" s="52" t="str">
        <f t="shared" si="141"/>
        <v>-</v>
      </c>
      <c r="AB33" s="52" t="str">
        <f t="shared" si="142"/>
        <v>-</v>
      </c>
      <c r="AC33" s="52">
        <f t="shared" si="143"/>
        <v>47.7</v>
      </c>
      <c r="AD33" s="52" t="str">
        <f t="shared" si="144"/>
        <v>-</v>
      </c>
      <c r="AE33" s="52" t="str">
        <f t="shared" si="145"/>
        <v>-</v>
      </c>
      <c r="AF33" s="52" t="str">
        <f t="shared" si="146"/>
        <v>-</v>
      </c>
      <c r="AG33" s="52" t="str">
        <f t="shared" si="147"/>
        <v>-</v>
      </c>
      <c r="AH33" s="52" t="str">
        <f t="shared" si="148"/>
        <v>-</v>
      </c>
      <c r="AI33" s="52" t="str">
        <f t="shared" si="149"/>
        <v>-</v>
      </c>
      <c r="AJ33" s="52" t="str">
        <f t="shared" si="150"/>
        <v>-</v>
      </c>
      <c r="AK33" s="52" t="str">
        <f t="shared" si="151"/>
        <v>-</v>
      </c>
      <c r="AL33" s="52" t="str">
        <f t="shared" si="152"/>
        <v>-</v>
      </c>
      <c r="AM33" s="53" t="str">
        <f t="shared" si="153"/>
        <v>-</v>
      </c>
      <c r="AN33" s="51" t="str">
        <f t="shared" si="154"/>
        <v>-</v>
      </c>
      <c r="AO33" s="52" t="str">
        <f t="shared" si="155"/>
        <v>-</v>
      </c>
      <c r="AP33" s="52" t="str">
        <f t="shared" si="156"/>
        <v>-</v>
      </c>
      <c r="AQ33" s="52" t="str">
        <f t="shared" si="157"/>
        <v>-</v>
      </c>
      <c r="AR33" s="52" t="str">
        <f t="shared" si="158"/>
        <v>-</v>
      </c>
      <c r="AS33" s="52" t="str">
        <f t="shared" si="159"/>
        <v>-</v>
      </c>
      <c r="AT33" s="52" t="str">
        <f t="shared" si="160"/>
        <v>-</v>
      </c>
      <c r="AU33" s="52" t="str">
        <f t="shared" si="161"/>
        <v>-</v>
      </c>
      <c r="AV33" s="52" t="str">
        <f t="shared" si="162"/>
        <v>-</v>
      </c>
      <c r="AW33" s="52" t="str">
        <f t="shared" si="163"/>
        <v>-</v>
      </c>
      <c r="AX33" s="52" t="str">
        <f t="shared" si="164"/>
        <v>-</v>
      </c>
      <c r="AY33" s="52" t="str">
        <f t="shared" si="165"/>
        <v>-</v>
      </c>
      <c r="AZ33" s="52" t="str">
        <f t="shared" si="166"/>
        <v>-</v>
      </c>
      <c r="BA33" s="52" t="str">
        <f t="shared" si="167"/>
        <v>-</v>
      </c>
      <c r="BB33" s="52" t="str">
        <f t="shared" si="168"/>
        <v>-</v>
      </c>
      <c r="BC33" s="52" t="str">
        <f t="shared" si="169"/>
        <v>-</v>
      </c>
      <c r="BD33" s="52" t="str">
        <f t="shared" si="170"/>
        <v>-</v>
      </c>
      <c r="BE33" s="53" t="str">
        <f t="shared" si="171"/>
        <v>-</v>
      </c>
      <c r="BF33" s="51" t="str">
        <f t="shared" si="172"/>
        <v>-</v>
      </c>
      <c r="BG33" s="52" t="str">
        <f t="shared" si="173"/>
        <v>-</v>
      </c>
      <c r="BH33" s="52" t="str">
        <f t="shared" si="174"/>
        <v>-</v>
      </c>
      <c r="BI33" s="52" t="str">
        <f t="shared" si="175"/>
        <v>-</v>
      </c>
      <c r="BJ33" s="52" t="str">
        <f t="shared" si="176"/>
        <v>-</v>
      </c>
      <c r="BK33" s="52" t="str">
        <f t="shared" si="177"/>
        <v>-</v>
      </c>
      <c r="BL33" s="52" t="str">
        <f t="shared" si="178"/>
        <v>-</v>
      </c>
      <c r="BM33" s="52" t="str">
        <f t="shared" si="179"/>
        <v>-</v>
      </c>
      <c r="BN33" s="52" t="str">
        <f t="shared" si="180"/>
        <v>-</v>
      </c>
      <c r="BO33" s="52" t="str">
        <f t="shared" si="181"/>
        <v>-</v>
      </c>
      <c r="BP33" s="52" t="str">
        <f t="shared" si="182"/>
        <v>-</v>
      </c>
      <c r="BQ33" s="52" t="str">
        <f t="shared" si="183"/>
        <v>-</v>
      </c>
      <c r="BR33" s="52" t="str">
        <f t="shared" si="184"/>
        <v>-</v>
      </c>
      <c r="BS33" s="52" t="str">
        <f t="shared" si="185"/>
        <v>-</v>
      </c>
      <c r="BT33" s="52" t="str">
        <f t="shared" si="186"/>
        <v>-</v>
      </c>
      <c r="BU33" s="52" t="str">
        <f t="shared" si="187"/>
        <v>-</v>
      </c>
      <c r="BV33" s="52" t="str">
        <f t="shared" si="188"/>
        <v>-</v>
      </c>
      <c r="BW33" s="53" t="str">
        <f t="shared" si="189"/>
        <v>-</v>
      </c>
      <c r="BX33" s="51" t="str">
        <f t="shared" si="190"/>
        <v>-</v>
      </c>
      <c r="BY33" s="52" t="str">
        <f t="shared" si="191"/>
        <v>-</v>
      </c>
      <c r="BZ33" s="52" t="str">
        <f t="shared" si="192"/>
        <v>-</v>
      </c>
      <c r="CA33" s="52" t="str">
        <f t="shared" si="193"/>
        <v>-</v>
      </c>
      <c r="CB33" s="52" t="str">
        <f t="shared" si="194"/>
        <v>-</v>
      </c>
      <c r="CC33" s="52" t="str">
        <f t="shared" si="195"/>
        <v>-</v>
      </c>
      <c r="CD33" s="52" t="str">
        <f t="shared" si="196"/>
        <v>-</v>
      </c>
      <c r="CE33" s="52" t="str">
        <f t="shared" si="197"/>
        <v>-</v>
      </c>
      <c r="CF33" s="52" t="str">
        <f t="shared" si="198"/>
        <v>-</v>
      </c>
      <c r="CG33" s="52" t="str">
        <f t="shared" si="199"/>
        <v>-</v>
      </c>
      <c r="CH33" s="52" t="str">
        <f t="shared" si="200"/>
        <v>-</v>
      </c>
      <c r="CI33" s="52" t="str">
        <f t="shared" si="201"/>
        <v>-</v>
      </c>
      <c r="CJ33" s="52" t="str">
        <f t="shared" si="202"/>
        <v>-</v>
      </c>
      <c r="CK33" s="52" t="str">
        <f t="shared" si="203"/>
        <v>-</v>
      </c>
      <c r="CL33" s="52" t="str">
        <f t="shared" si="204"/>
        <v>-</v>
      </c>
      <c r="CM33" s="52" t="str">
        <f t="shared" si="205"/>
        <v>-</v>
      </c>
      <c r="CN33" s="52" t="str">
        <f t="shared" si="206"/>
        <v>-</v>
      </c>
      <c r="CO33" s="53" t="str">
        <f t="shared" si="207"/>
        <v>-</v>
      </c>
      <c r="CQ33" s="305" t="str">
        <f t="shared" si="126"/>
        <v>-</v>
      </c>
      <c r="CR33" s="305">
        <f t="shared" si="127"/>
        <v>49.31</v>
      </c>
      <c r="CS33" s="305" t="str">
        <f t="shared" si="128"/>
        <v>-</v>
      </c>
      <c r="CT33" s="305" t="str">
        <f t="shared" si="129"/>
        <v>-</v>
      </c>
      <c r="CU33" s="305" t="str">
        <f t="shared" si="130"/>
        <v>-</v>
      </c>
      <c r="CV33" s="305" t="str">
        <f t="shared" si="131"/>
        <v>-</v>
      </c>
      <c r="CX33" s="51" t="str">
        <f t="shared" si="72"/>
        <v>-</v>
      </c>
      <c r="CY33" s="52">
        <f t="shared" si="73"/>
        <v>48.1</v>
      </c>
      <c r="CZ33" s="53" t="str">
        <f t="shared" si="74"/>
        <v>-</v>
      </c>
      <c r="DA33" s="51" t="str">
        <f t="shared" si="75"/>
        <v>-</v>
      </c>
      <c r="DB33" s="52" t="str">
        <f t="shared" si="76"/>
        <v>-</v>
      </c>
      <c r="DC33" s="53" t="str">
        <f t="shared" si="77"/>
        <v>-</v>
      </c>
      <c r="DD33" s="57"/>
      <c r="DE33" s="106" t="str">
        <f t="shared" si="78"/>
        <v>-</v>
      </c>
      <c r="DF33" s="107" t="str">
        <f t="shared" si="79"/>
        <v>-</v>
      </c>
      <c r="DG33" s="107" t="str">
        <f t="shared" si="80"/>
        <v>-</v>
      </c>
      <c r="DH33" s="107" t="str">
        <f t="shared" si="81"/>
        <v>-</v>
      </c>
      <c r="DI33" s="107" t="str">
        <f t="shared" si="82"/>
        <v>-</v>
      </c>
      <c r="DJ33" s="107" t="str">
        <f t="shared" si="83"/>
        <v>-</v>
      </c>
      <c r="DK33" s="107" t="str">
        <f t="shared" si="84"/>
        <v>-</v>
      </c>
      <c r="DL33" s="107" t="str">
        <f t="shared" si="85"/>
        <v>-</v>
      </c>
      <c r="DM33" s="108" t="str">
        <f t="shared" si="86"/>
        <v>-</v>
      </c>
      <c r="DO33" s="106" t="str">
        <f t="shared" si="87"/>
        <v>-</v>
      </c>
      <c r="DP33" s="107" t="str">
        <f t="shared" si="88"/>
        <v>-</v>
      </c>
      <c r="DQ33" s="107" t="str">
        <f t="shared" si="89"/>
        <v>-</v>
      </c>
      <c r="DR33" s="107" t="str">
        <f t="shared" si="90"/>
        <v>-</v>
      </c>
      <c r="DS33" s="107" t="str">
        <f t="shared" si="91"/>
        <v>-</v>
      </c>
      <c r="DT33" s="107" t="str">
        <f t="shared" si="92"/>
        <v>-</v>
      </c>
      <c r="DU33" s="107" t="str">
        <f t="shared" si="93"/>
        <v>-</v>
      </c>
      <c r="DV33" s="107" t="str">
        <f t="shared" si="94"/>
        <v>-</v>
      </c>
      <c r="DW33" s="108" t="str">
        <f t="shared" si="95"/>
        <v>-</v>
      </c>
      <c r="DX33" s="109" t="str">
        <f t="shared" si="96"/>
        <v>-</v>
      </c>
      <c r="DY33" s="110" t="str">
        <f t="shared" si="97"/>
        <v>-</v>
      </c>
      <c r="DZ33" s="110" t="str">
        <f t="shared" si="98"/>
        <v>-</v>
      </c>
      <c r="EA33" s="110">
        <f t="shared" si="99"/>
        <v>49.3</v>
      </c>
      <c r="EB33" s="110" t="str">
        <f t="shared" si="100"/>
        <v>-</v>
      </c>
      <c r="EC33" s="110" t="str">
        <f t="shared" si="101"/>
        <v>-</v>
      </c>
      <c r="ED33" s="110" t="str">
        <f t="shared" si="102"/>
        <v>-</v>
      </c>
      <c r="EE33" s="110" t="str">
        <f t="shared" si="103"/>
        <v>-</v>
      </c>
      <c r="EF33" s="111" t="str">
        <f t="shared" si="104"/>
        <v>-</v>
      </c>
      <c r="EG33" s="109" t="str">
        <f t="shared" si="105"/>
        <v>-</v>
      </c>
      <c r="EH33" s="110" t="str">
        <f t="shared" si="106"/>
        <v>-</v>
      </c>
      <c r="EI33" s="110" t="str">
        <f t="shared" si="107"/>
        <v>-</v>
      </c>
      <c r="EJ33" s="110" t="str">
        <f t="shared" si="108"/>
        <v>-</v>
      </c>
      <c r="EK33" s="110" t="str">
        <f t="shared" si="109"/>
        <v>-</v>
      </c>
      <c r="EL33" s="110" t="str">
        <f t="shared" si="110"/>
        <v>-</v>
      </c>
      <c r="EM33" s="110" t="str">
        <f t="shared" si="111"/>
        <v>-</v>
      </c>
      <c r="EN33" s="110" t="str">
        <f t="shared" si="112"/>
        <v>-</v>
      </c>
      <c r="EO33" s="111" t="str">
        <f t="shared" si="113"/>
        <v>-</v>
      </c>
      <c r="EQ33" s="118">
        <f t="shared" si="114"/>
        <v>48.1</v>
      </c>
      <c r="ER33" s="119" t="str">
        <f t="shared" si="115"/>
        <v>-</v>
      </c>
      <c r="ES33" s="120" t="str">
        <f t="shared" si="116"/>
        <v>-</v>
      </c>
      <c r="ET33" s="90">
        <v>2</v>
      </c>
      <c r="EU33" s="118">
        <f t="shared" si="117"/>
        <v>2</v>
      </c>
      <c r="EV33" s="119" t="str">
        <f t="shared" si="118"/>
        <v>-</v>
      </c>
      <c r="EW33" s="120" t="str">
        <f t="shared" si="119"/>
        <v>-</v>
      </c>
    </row>
    <row r="34" spans="1:153" ht="15.75" thickBot="1" x14ac:dyDescent="0.3">
      <c r="A34" s="41"/>
      <c r="B34" s="171" t="s">
        <v>471</v>
      </c>
      <c r="C34" s="171" t="s">
        <v>472</v>
      </c>
      <c r="D34" s="42">
        <f>VLOOKUP(B34,'BASE DE DATOS'!$B$3:$E$106,2,FALSE)</f>
        <v>34.51</v>
      </c>
      <c r="E34" s="42">
        <f>VLOOKUP(B34,'BASE DE DATOS'!$B$3:$E$106,4,FALSE)</f>
        <v>1.6199999999999974</v>
      </c>
      <c r="F34" s="42">
        <f>VLOOKUP(C34,'BASE DE DATOS'!$B$3:$E$106,2,FALSE)</f>
        <v>33.450000000000003</v>
      </c>
      <c r="G34" s="42">
        <f>VLOOKUP(C34,'BASE DE DATOS'!$B$3:$E$106,4,FALSE)</f>
        <v>1.5800000000000018</v>
      </c>
      <c r="H34" s="43">
        <f t="shared" si="135"/>
        <v>1.5999999999999996</v>
      </c>
      <c r="I34" s="171">
        <v>49.2</v>
      </c>
      <c r="J34" s="44">
        <f t="shared" si="132"/>
        <v>49.2</v>
      </c>
      <c r="K34" s="40">
        <f t="shared" si="133"/>
        <v>47.61</v>
      </c>
      <c r="L34" s="40">
        <f t="shared" si="134"/>
        <v>48.01</v>
      </c>
      <c r="M34" s="44">
        <f t="shared" si="124"/>
        <v>200</v>
      </c>
      <c r="N34" s="40">
        <f t="shared" si="125"/>
        <v>49.21</v>
      </c>
      <c r="O34" s="171" t="s">
        <v>120</v>
      </c>
      <c r="P34" s="19">
        <v>187.6</v>
      </c>
      <c r="Q34" s="171" t="s">
        <v>122</v>
      </c>
      <c r="R34" s="171" t="s">
        <v>133</v>
      </c>
      <c r="S34" s="171" t="s">
        <v>147</v>
      </c>
      <c r="T34" s="171" t="s">
        <v>146</v>
      </c>
      <c r="V34" s="51" t="str">
        <f t="shared" si="136"/>
        <v>-</v>
      </c>
      <c r="W34" s="52" t="str">
        <f t="shared" si="137"/>
        <v>-</v>
      </c>
      <c r="X34" s="52" t="str">
        <f t="shared" si="138"/>
        <v>-</v>
      </c>
      <c r="Y34" s="52" t="str">
        <f t="shared" si="139"/>
        <v>-</v>
      </c>
      <c r="Z34" s="52">
        <f t="shared" si="140"/>
        <v>47.61</v>
      </c>
      <c r="AA34" s="52" t="str">
        <f t="shared" si="141"/>
        <v>-</v>
      </c>
      <c r="AB34" s="52" t="str">
        <f t="shared" si="142"/>
        <v>-</v>
      </c>
      <c r="AC34" s="52" t="str">
        <f t="shared" si="143"/>
        <v>-</v>
      </c>
      <c r="AD34" s="52" t="str">
        <f t="shared" si="144"/>
        <v>-</v>
      </c>
      <c r="AE34" s="52" t="str">
        <f t="shared" si="145"/>
        <v>-</v>
      </c>
      <c r="AF34" s="52" t="str">
        <f t="shared" si="146"/>
        <v>-</v>
      </c>
      <c r="AG34" s="52" t="str">
        <f t="shared" si="147"/>
        <v>-</v>
      </c>
      <c r="AH34" s="52" t="str">
        <f t="shared" si="148"/>
        <v>-</v>
      </c>
      <c r="AI34" s="52" t="str">
        <f t="shared" si="149"/>
        <v>-</v>
      </c>
      <c r="AJ34" s="52" t="str">
        <f t="shared" si="150"/>
        <v>-</v>
      </c>
      <c r="AK34" s="52" t="str">
        <f t="shared" si="151"/>
        <v>-</v>
      </c>
      <c r="AL34" s="52" t="str">
        <f t="shared" si="152"/>
        <v>-</v>
      </c>
      <c r="AM34" s="53" t="str">
        <f t="shared" si="153"/>
        <v>-</v>
      </c>
      <c r="AN34" s="51" t="str">
        <f t="shared" si="154"/>
        <v>-</v>
      </c>
      <c r="AO34" s="52" t="str">
        <f t="shared" si="155"/>
        <v>-</v>
      </c>
      <c r="AP34" s="52" t="str">
        <f t="shared" si="156"/>
        <v>-</v>
      </c>
      <c r="AQ34" s="52" t="str">
        <f t="shared" si="157"/>
        <v>-</v>
      </c>
      <c r="AR34" s="52" t="str">
        <f t="shared" si="158"/>
        <v>-</v>
      </c>
      <c r="AS34" s="52" t="str">
        <f t="shared" si="159"/>
        <v>-</v>
      </c>
      <c r="AT34" s="52" t="str">
        <f t="shared" si="160"/>
        <v>-</v>
      </c>
      <c r="AU34" s="52" t="str">
        <f t="shared" si="161"/>
        <v>-</v>
      </c>
      <c r="AV34" s="52" t="str">
        <f t="shared" si="162"/>
        <v>-</v>
      </c>
      <c r="AW34" s="52" t="str">
        <f t="shared" si="163"/>
        <v>-</v>
      </c>
      <c r="AX34" s="52" t="str">
        <f t="shared" si="164"/>
        <v>-</v>
      </c>
      <c r="AY34" s="52" t="str">
        <f t="shared" si="165"/>
        <v>-</v>
      </c>
      <c r="AZ34" s="52" t="str">
        <f t="shared" si="166"/>
        <v>-</v>
      </c>
      <c r="BA34" s="52" t="str">
        <f t="shared" si="167"/>
        <v>-</v>
      </c>
      <c r="BB34" s="52" t="str">
        <f t="shared" si="168"/>
        <v>-</v>
      </c>
      <c r="BC34" s="52" t="str">
        <f t="shared" si="169"/>
        <v>-</v>
      </c>
      <c r="BD34" s="52" t="str">
        <f t="shared" si="170"/>
        <v>-</v>
      </c>
      <c r="BE34" s="53" t="str">
        <f t="shared" si="171"/>
        <v>-</v>
      </c>
      <c r="BF34" s="51" t="str">
        <f t="shared" si="172"/>
        <v>-</v>
      </c>
      <c r="BG34" s="52" t="str">
        <f t="shared" si="173"/>
        <v>-</v>
      </c>
      <c r="BH34" s="52" t="str">
        <f t="shared" si="174"/>
        <v>-</v>
      </c>
      <c r="BI34" s="52" t="str">
        <f t="shared" si="175"/>
        <v>-</v>
      </c>
      <c r="BJ34" s="52" t="str">
        <f t="shared" si="176"/>
        <v>-</v>
      </c>
      <c r="BK34" s="52" t="str">
        <f t="shared" si="177"/>
        <v>-</v>
      </c>
      <c r="BL34" s="52" t="str">
        <f t="shared" si="178"/>
        <v>-</v>
      </c>
      <c r="BM34" s="52" t="str">
        <f t="shared" si="179"/>
        <v>-</v>
      </c>
      <c r="BN34" s="52" t="str">
        <f t="shared" si="180"/>
        <v>-</v>
      </c>
      <c r="BO34" s="52" t="str">
        <f t="shared" si="181"/>
        <v>-</v>
      </c>
      <c r="BP34" s="52" t="str">
        <f t="shared" si="182"/>
        <v>-</v>
      </c>
      <c r="BQ34" s="52" t="str">
        <f t="shared" si="183"/>
        <v>-</v>
      </c>
      <c r="BR34" s="52" t="str">
        <f t="shared" si="184"/>
        <v>-</v>
      </c>
      <c r="BS34" s="52" t="str">
        <f t="shared" si="185"/>
        <v>-</v>
      </c>
      <c r="BT34" s="52" t="str">
        <f t="shared" si="186"/>
        <v>-</v>
      </c>
      <c r="BU34" s="52" t="str">
        <f t="shared" si="187"/>
        <v>-</v>
      </c>
      <c r="BV34" s="52" t="str">
        <f t="shared" si="188"/>
        <v>-</v>
      </c>
      <c r="BW34" s="53" t="str">
        <f t="shared" si="189"/>
        <v>-</v>
      </c>
      <c r="BX34" s="51" t="str">
        <f t="shared" si="190"/>
        <v>-</v>
      </c>
      <c r="BY34" s="52" t="str">
        <f t="shared" si="191"/>
        <v>-</v>
      </c>
      <c r="BZ34" s="52" t="str">
        <f t="shared" si="192"/>
        <v>-</v>
      </c>
      <c r="CA34" s="52" t="str">
        <f t="shared" si="193"/>
        <v>-</v>
      </c>
      <c r="CB34" s="52" t="str">
        <f t="shared" si="194"/>
        <v>-</v>
      </c>
      <c r="CC34" s="52" t="str">
        <f t="shared" si="195"/>
        <v>-</v>
      </c>
      <c r="CD34" s="52" t="str">
        <f t="shared" si="196"/>
        <v>-</v>
      </c>
      <c r="CE34" s="52" t="str">
        <f t="shared" si="197"/>
        <v>-</v>
      </c>
      <c r="CF34" s="52" t="str">
        <f t="shared" si="198"/>
        <v>-</v>
      </c>
      <c r="CG34" s="52" t="str">
        <f t="shared" si="199"/>
        <v>-</v>
      </c>
      <c r="CH34" s="52" t="str">
        <f t="shared" si="200"/>
        <v>-</v>
      </c>
      <c r="CI34" s="52" t="str">
        <f t="shared" si="201"/>
        <v>-</v>
      </c>
      <c r="CJ34" s="52" t="str">
        <f t="shared" si="202"/>
        <v>-</v>
      </c>
      <c r="CK34" s="52" t="str">
        <f t="shared" si="203"/>
        <v>-</v>
      </c>
      <c r="CL34" s="52" t="str">
        <f t="shared" si="204"/>
        <v>-</v>
      </c>
      <c r="CM34" s="52" t="str">
        <f t="shared" si="205"/>
        <v>-</v>
      </c>
      <c r="CN34" s="52" t="str">
        <f t="shared" si="206"/>
        <v>-</v>
      </c>
      <c r="CO34" s="53" t="str">
        <f t="shared" si="207"/>
        <v>-</v>
      </c>
      <c r="CQ34" s="305" t="str">
        <f t="shared" si="126"/>
        <v>-</v>
      </c>
      <c r="CR34" s="305">
        <f t="shared" si="127"/>
        <v>49.21</v>
      </c>
      <c r="CS34" s="305" t="str">
        <f t="shared" si="128"/>
        <v>-</v>
      </c>
      <c r="CT34" s="305" t="str">
        <f t="shared" si="129"/>
        <v>-</v>
      </c>
      <c r="CU34" s="305" t="str">
        <f t="shared" si="130"/>
        <v>-</v>
      </c>
      <c r="CV34" s="305" t="str">
        <f t="shared" si="131"/>
        <v>-</v>
      </c>
      <c r="CX34" s="51">
        <f t="shared" si="72"/>
        <v>48.01</v>
      </c>
      <c r="CY34" s="52" t="str">
        <f t="shared" si="73"/>
        <v>-</v>
      </c>
      <c r="CZ34" s="53" t="str">
        <f t="shared" si="74"/>
        <v>-</v>
      </c>
      <c r="DA34" s="51" t="str">
        <f t="shared" si="75"/>
        <v>-</v>
      </c>
      <c r="DB34" s="52" t="str">
        <f t="shared" si="76"/>
        <v>-</v>
      </c>
      <c r="DC34" s="53" t="str">
        <f t="shared" si="77"/>
        <v>-</v>
      </c>
      <c r="DD34" s="57"/>
      <c r="DE34" s="106" t="str">
        <f t="shared" si="78"/>
        <v>-</v>
      </c>
      <c r="DF34" s="107" t="str">
        <f t="shared" si="79"/>
        <v>-</v>
      </c>
      <c r="DG34" s="107" t="str">
        <f t="shared" si="80"/>
        <v>-</v>
      </c>
      <c r="DH34" s="107">
        <f t="shared" si="81"/>
        <v>48.01</v>
      </c>
      <c r="DI34" s="107" t="str">
        <f t="shared" si="82"/>
        <v>-</v>
      </c>
      <c r="DJ34" s="107" t="str">
        <f t="shared" si="83"/>
        <v>-</v>
      </c>
      <c r="DK34" s="107" t="str">
        <f t="shared" si="84"/>
        <v>-</v>
      </c>
      <c r="DL34" s="107" t="str">
        <f t="shared" si="85"/>
        <v>-</v>
      </c>
      <c r="DM34" s="108" t="str">
        <f t="shared" si="86"/>
        <v>-</v>
      </c>
      <c r="DO34" s="106" t="str">
        <f t="shared" si="87"/>
        <v>-</v>
      </c>
      <c r="DP34" s="107" t="str">
        <f t="shared" si="88"/>
        <v>-</v>
      </c>
      <c r="DQ34" s="107" t="str">
        <f t="shared" si="89"/>
        <v>-</v>
      </c>
      <c r="DR34" s="107">
        <f t="shared" si="90"/>
        <v>48.01</v>
      </c>
      <c r="DS34" s="107" t="str">
        <f t="shared" si="91"/>
        <v>-</v>
      </c>
      <c r="DT34" s="107" t="str">
        <f t="shared" si="92"/>
        <v>-</v>
      </c>
      <c r="DU34" s="107" t="str">
        <f t="shared" si="93"/>
        <v>-</v>
      </c>
      <c r="DV34" s="107" t="str">
        <f t="shared" si="94"/>
        <v>-</v>
      </c>
      <c r="DW34" s="108" t="str">
        <f t="shared" si="95"/>
        <v>-</v>
      </c>
      <c r="DX34" s="109" t="str">
        <f t="shared" si="96"/>
        <v>-</v>
      </c>
      <c r="DY34" s="110" t="str">
        <f t="shared" si="97"/>
        <v>-</v>
      </c>
      <c r="DZ34" s="110" t="str">
        <f t="shared" si="98"/>
        <v>-</v>
      </c>
      <c r="EA34" s="110" t="str">
        <f t="shared" si="99"/>
        <v>-</v>
      </c>
      <c r="EB34" s="110" t="str">
        <f t="shared" si="100"/>
        <v>-</v>
      </c>
      <c r="EC34" s="110" t="str">
        <f t="shared" si="101"/>
        <v>-</v>
      </c>
      <c r="ED34" s="110" t="str">
        <f t="shared" si="102"/>
        <v>-</v>
      </c>
      <c r="EE34" s="110" t="str">
        <f t="shared" si="103"/>
        <v>-</v>
      </c>
      <c r="EF34" s="111" t="str">
        <f t="shared" si="104"/>
        <v>-</v>
      </c>
      <c r="EG34" s="109" t="str">
        <f t="shared" si="105"/>
        <v>-</v>
      </c>
      <c r="EH34" s="110" t="str">
        <f t="shared" si="106"/>
        <v>-</v>
      </c>
      <c r="EI34" s="110" t="str">
        <f t="shared" si="107"/>
        <v>-</v>
      </c>
      <c r="EJ34" s="110" t="str">
        <f t="shared" si="108"/>
        <v>-</v>
      </c>
      <c r="EK34" s="110" t="str">
        <f t="shared" si="109"/>
        <v>-</v>
      </c>
      <c r="EL34" s="110" t="str">
        <f t="shared" si="110"/>
        <v>-</v>
      </c>
      <c r="EM34" s="110" t="str">
        <f t="shared" si="111"/>
        <v>-</v>
      </c>
      <c r="EN34" s="110" t="str">
        <f t="shared" si="112"/>
        <v>-</v>
      </c>
      <c r="EO34" s="111" t="str">
        <f t="shared" si="113"/>
        <v>-</v>
      </c>
      <c r="EQ34" s="118">
        <f t="shared" si="114"/>
        <v>48.01</v>
      </c>
      <c r="ER34" s="119" t="str">
        <f t="shared" si="115"/>
        <v>-</v>
      </c>
      <c r="ES34" s="120" t="str">
        <f t="shared" si="116"/>
        <v>-</v>
      </c>
      <c r="ET34" s="90">
        <v>2</v>
      </c>
      <c r="EU34" s="118">
        <f t="shared" si="117"/>
        <v>2</v>
      </c>
      <c r="EV34" s="119" t="str">
        <f t="shared" si="118"/>
        <v>-</v>
      </c>
      <c r="EW34" s="120" t="str">
        <f t="shared" si="119"/>
        <v>-</v>
      </c>
    </row>
    <row r="35" spans="1:153" ht="15.75" thickBot="1" x14ac:dyDescent="0.3">
      <c r="A35" s="41"/>
      <c r="B35" s="171" t="s">
        <v>472</v>
      </c>
      <c r="C35" s="171" t="s">
        <v>473</v>
      </c>
      <c r="D35" s="42">
        <f>VLOOKUP(B35,'BASE DE DATOS'!$B$3:$E$106,2,FALSE)</f>
        <v>33.450000000000003</v>
      </c>
      <c r="E35" s="42">
        <f>VLOOKUP(B35,'BASE DE DATOS'!$B$3:$E$106,4,FALSE)</f>
        <v>1.5800000000000018</v>
      </c>
      <c r="F35" s="42">
        <f>VLOOKUP(C35,'BASE DE DATOS'!$B$3:$E$106,2,FALSE)</f>
        <v>32.53</v>
      </c>
      <c r="G35" s="42">
        <f>VLOOKUP(C35,'BASE DE DATOS'!$B$3:$E$106,4,FALSE)</f>
        <v>2.3300000000000018</v>
      </c>
      <c r="H35" s="43">
        <f t="shared" si="135"/>
        <v>1.9550000000000018</v>
      </c>
      <c r="I35" s="171">
        <v>63.84</v>
      </c>
      <c r="J35" s="44">
        <f t="shared" si="132"/>
        <v>63.84</v>
      </c>
      <c r="K35" s="40">
        <f t="shared" si="133"/>
        <v>62.26</v>
      </c>
      <c r="L35" s="40">
        <f t="shared" si="134"/>
        <v>62.66</v>
      </c>
      <c r="M35" s="44">
        <f t="shared" si="124"/>
        <v>200</v>
      </c>
      <c r="N35" s="40">
        <f t="shared" si="125"/>
        <v>63.85</v>
      </c>
      <c r="O35" s="171" t="s">
        <v>120</v>
      </c>
      <c r="P35" s="19">
        <v>187.6</v>
      </c>
      <c r="Q35" s="171" t="s">
        <v>122</v>
      </c>
      <c r="R35" s="171" t="s">
        <v>133</v>
      </c>
      <c r="S35" s="171" t="s">
        <v>147</v>
      </c>
      <c r="T35" s="171" t="s">
        <v>146</v>
      </c>
      <c r="V35" s="51" t="str">
        <f t="shared" si="136"/>
        <v>-</v>
      </c>
      <c r="W35" s="52" t="str">
        <f t="shared" si="137"/>
        <v>-</v>
      </c>
      <c r="X35" s="52" t="str">
        <f t="shared" si="138"/>
        <v>-</v>
      </c>
      <c r="Y35" s="52" t="str">
        <f t="shared" si="139"/>
        <v>-</v>
      </c>
      <c r="Z35" s="52" t="str">
        <f t="shared" si="140"/>
        <v>-</v>
      </c>
      <c r="AA35" s="52" t="str">
        <f t="shared" si="141"/>
        <v>-</v>
      </c>
      <c r="AB35" s="52">
        <f t="shared" si="142"/>
        <v>62.26</v>
      </c>
      <c r="AC35" s="52" t="str">
        <f t="shared" si="143"/>
        <v>-</v>
      </c>
      <c r="AD35" s="52" t="str">
        <f t="shared" si="144"/>
        <v>-</v>
      </c>
      <c r="AE35" s="52" t="str">
        <f t="shared" si="145"/>
        <v>-</v>
      </c>
      <c r="AF35" s="52" t="str">
        <f t="shared" si="146"/>
        <v>-</v>
      </c>
      <c r="AG35" s="52" t="str">
        <f t="shared" si="147"/>
        <v>-</v>
      </c>
      <c r="AH35" s="52" t="str">
        <f t="shared" si="148"/>
        <v>-</v>
      </c>
      <c r="AI35" s="52" t="str">
        <f t="shared" si="149"/>
        <v>-</v>
      </c>
      <c r="AJ35" s="52" t="str">
        <f t="shared" si="150"/>
        <v>-</v>
      </c>
      <c r="AK35" s="52" t="str">
        <f t="shared" si="151"/>
        <v>-</v>
      </c>
      <c r="AL35" s="52" t="str">
        <f t="shared" si="152"/>
        <v>-</v>
      </c>
      <c r="AM35" s="53" t="str">
        <f t="shared" si="153"/>
        <v>-</v>
      </c>
      <c r="AN35" s="51" t="str">
        <f t="shared" si="154"/>
        <v>-</v>
      </c>
      <c r="AO35" s="52" t="str">
        <f t="shared" si="155"/>
        <v>-</v>
      </c>
      <c r="AP35" s="52" t="str">
        <f t="shared" si="156"/>
        <v>-</v>
      </c>
      <c r="AQ35" s="52" t="str">
        <f t="shared" si="157"/>
        <v>-</v>
      </c>
      <c r="AR35" s="52" t="str">
        <f t="shared" si="158"/>
        <v>-</v>
      </c>
      <c r="AS35" s="52" t="str">
        <f t="shared" si="159"/>
        <v>-</v>
      </c>
      <c r="AT35" s="52" t="str">
        <f t="shared" si="160"/>
        <v>-</v>
      </c>
      <c r="AU35" s="52" t="str">
        <f t="shared" si="161"/>
        <v>-</v>
      </c>
      <c r="AV35" s="52" t="str">
        <f t="shared" si="162"/>
        <v>-</v>
      </c>
      <c r="AW35" s="52" t="str">
        <f t="shared" si="163"/>
        <v>-</v>
      </c>
      <c r="AX35" s="52" t="str">
        <f t="shared" si="164"/>
        <v>-</v>
      </c>
      <c r="AY35" s="52" t="str">
        <f t="shared" si="165"/>
        <v>-</v>
      </c>
      <c r="AZ35" s="52" t="str">
        <f t="shared" si="166"/>
        <v>-</v>
      </c>
      <c r="BA35" s="52" t="str">
        <f t="shared" si="167"/>
        <v>-</v>
      </c>
      <c r="BB35" s="52" t="str">
        <f t="shared" si="168"/>
        <v>-</v>
      </c>
      <c r="BC35" s="52" t="str">
        <f t="shared" si="169"/>
        <v>-</v>
      </c>
      <c r="BD35" s="52" t="str">
        <f t="shared" si="170"/>
        <v>-</v>
      </c>
      <c r="BE35" s="53" t="str">
        <f t="shared" si="171"/>
        <v>-</v>
      </c>
      <c r="BF35" s="51" t="str">
        <f t="shared" si="172"/>
        <v>-</v>
      </c>
      <c r="BG35" s="52" t="str">
        <f t="shared" si="173"/>
        <v>-</v>
      </c>
      <c r="BH35" s="52" t="str">
        <f t="shared" si="174"/>
        <v>-</v>
      </c>
      <c r="BI35" s="52" t="str">
        <f t="shared" si="175"/>
        <v>-</v>
      </c>
      <c r="BJ35" s="52" t="str">
        <f t="shared" si="176"/>
        <v>-</v>
      </c>
      <c r="BK35" s="52" t="str">
        <f t="shared" si="177"/>
        <v>-</v>
      </c>
      <c r="BL35" s="52" t="str">
        <f t="shared" si="178"/>
        <v>-</v>
      </c>
      <c r="BM35" s="52" t="str">
        <f t="shared" si="179"/>
        <v>-</v>
      </c>
      <c r="BN35" s="52" t="str">
        <f t="shared" si="180"/>
        <v>-</v>
      </c>
      <c r="BO35" s="52" t="str">
        <f t="shared" si="181"/>
        <v>-</v>
      </c>
      <c r="BP35" s="52" t="str">
        <f t="shared" si="182"/>
        <v>-</v>
      </c>
      <c r="BQ35" s="52" t="str">
        <f t="shared" si="183"/>
        <v>-</v>
      </c>
      <c r="BR35" s="52" t="str">
        <f t="shared" si="184"/>
        <v>-</v>
      </c>
      <c r="BS35" s="52" t="str">
        <f t="shared" si="185"/>
        <v>-</v>
      </c>
      <c r="BT35" s="52" t="str">
        <f t="shared" si="186"/>
        <v>-</v>
      </c>
      <c r="BU35" s="52" t="str">
        <f t="shared" si="187"/>
        <v>-</v>
      </c>
      <c r="BV35" s="52" t="str">
        <f t="shared" si="188"/>
        <v>-</v>
      </c>
      <c r="BW35" s="53" t="str">
        <f t="shared" si="189"/>
        <v>-</v>
      </c>
      <c r="BX35" s="51" t="str">
        <f t="shared" si="190"/>
        <v>-</v>
      </c>
      <c r="BY35" s="52" t="str">
        <f t="shared" si="191"/>
        <v>-</v>
      </c>
      <c r="BZ35" s="52" t="str">
        <f t="shared" si="192"/>
        <v>-</v>
      </c>
      <c r="CA35" s="52" t="str">
        <f t="shared" si="193"/>
        <v>-</v>
      </c>
      <c r="CB35" s="52" t="str">
        <f t="shared" si="194"/>
        <v>-</v>
      </c>
      <c r="CC35" s="52" t="str">
        <f t="shared" si="195"/>
        <v>-</v>
      </c>
      <c r="CD35" s="52" t="str">
        <f t="shared" si="196"/>
        <v>-</v>
      </c>
      <c r="CE35" s="52" t="str">
        <f t="shared" si="197"/>
        <v>-</v>
      </c>
      <c r="CF35" s="52" t="str">
        <f t="shared" si="198"/>
        <v>-</v>
      </c>
      <c r="CG35" s="52" t="str">
        <f t="shared" si="199"/>
        <v>-</v>
      </c>
      <c r="CH35" s="52" t="str">
        <f t="shared" si="200"/>
        <v>-</v>
      </c>
      <c r="CI35" s="52" t="str">
        <f t="shared" si="201"/>
        <v>-</v>
      </c>
      <c r="CJ35" s="52" t="str">
        <f t="shared" si="202"/>
        <v>-</v>
      </c>
      <c r="CK35" s="52" t="str">
        <f t="shared" si="203"/>
        <v>-</v>
      </c>
      <c r="CL35" s="52" t="str">
        <f t="shared" si="204"/>
        <v>-</v>
      </c>
      <c r="CM35" s="52" t="str">
        <f t="shared" si="205"/>
        <v>-</v>
      </c>
      <c r="CN35" s="52" t="str">
        <f t="shared" si="206"/>
        <v>-</v>
      </c>
      <c r="CO35" s="53" t="str">
        <f t="shared" si="207"/>
        <v>-</v>
      </c>
      <c r="CQ35" s="305" t="str">
        <f t="shared" si="126"/>
        <v>-</v>
      </c>
      <c r="CR35" s="305">
        <f t="shared" si="127"/>
        <v>63.85</v>
      </c>
      <c r="CS35" s="305" t="str">
        <f t="shared" si="128"/>
        <v>-</v>
      </c>
      <c r="CT35" s="305" t="str">
        <f t="shared" si="129"/>
        <v>-</v>
      </c>
      <c r="CU35" s="305" t="str">
        <f t="shared" si="130"/>
        <v>-</v>
      </c>
      <c r="CV35" s="305" t="str">
        <f t="shared" si="131"/>
        <v>-</v>
      </c>
      <c r="CX35" s="51">
        <f t="shared" si="72"/>
        <v>62.66</v>
      </c>
      <c r="CY35" s="52" t="str">
        <f t="shared" si="73"/>
        <v>-</v>
      </c>
      <c r="CZ35" s="53" t="str">
        <f t="shared" si="74"/>
        <v>-</v>
      </c>
      <c r="DA35" s="51" t="str">
        <f t="shared" si="75"/>
        <v>-</v>
      </c>
      <c r="DB35" s="52" t="str">
        <f t="shared" si="76"/>
        <v>-</v>
      </c>
      <c r="DC35" s="53" t="str">
        <f t="shared" si="77"/>
        <v>-</v>
      </c>
      <c r="DD35" s="57"/>
      <c r="DE35" s="106" t="str">
        <f t="shared" si="78"/>
        <v>-</v>
      </c>
      <c r="DF35" s="107" t="str">
        <f t="shared" si="79"/>
        <v>-</v>
      </c>
      <c r="DG35" s="107" t="str">
        <f t="shared" si="80"/>
        <v>-</v>
      </c>
      <c r="DH35" s="107">
        <f t="shared" si="81"/>
        <v>62.66</v>
      </c>
      <c r="DI35" s="107" t="str">
        <f t="shared" si="82"/>
        <v>-</v>
      </c>
      <c r="DJ35" s="107" t="str">
        <f t="shared" si="83"/>
        <v>-</v>
      </c>
      <c r="DK35" s="107" t="str">
        <f t="shared" si="84"/>
        <v>-</v>
      </c>
      <c r="DL35" s="107" t="str">
        <f t="shared" si="85"/>
        <v>-</v>
      </c>
      <c r="DM35" s="108" t="str">
        <f t="shared" si="86"/>
        <v>-</v>
      </c>
      <c r="DO35" s="106" t="str">
        <f t="shared" si="87"/>
        <v>-</v>
      </c>
      <c r="DP35" s="107" t="str">
        <f t="shared" si="88"/>
        <v>-</v>
      </c>
      <c r="DQ35" s="107" t="str">
        <f t="shared" si="89"/>
        <v>-</v>
      </c>
      <c r="DR35" s="107">
        <f t="shared" si="90"/>
        <v>62.66</v>
      </c>
      <c r="DS35" s="107" t="str">
        <f t="shared" si="91"/>
        <v>-</v>
      </c>
      <c r="DT35" s="107" t="str">
        <f t="shared" si="92"/>
        <v>-</v>
      </c>
      <c r="DU35" s="107" t="str">
        <f t="shared" si="93"/>
        <v>-</v>
      </c>
      <c r="DV35" s="107" t="str">
        <f t="shared" si="94"/>
        <v>-</v>
      </c>
      <c r="DW35" s="108" t="str">
        <f t="shared" si="95"/>
        <v>-</v>
      </c>
      <c r="DX35" s="109" t="str">
        <f t="shared" si="96"/>
        <v>-</v>
      </c>
      <c r="DY35" s="110" t="str">
        <f t="shared" si="97"/>
        <v>-</v>
      </c>
      <c r="DZ35" s="110" t="str">
        <f t="shared" si="98"/>
        <v>-</v>
      </c>
      <c r="EA35" s="110" t="str">
        <f t="shared" si="99"/>
        <v>-</v>
      </c>
      <c r="EB35" s="110" t="str">
        <f t="shared" si="100"/>
        <v>-</v>
      </c>
      <c r="EC35" s="110" t="str">
        <f t="shared" si="101"/>
        <v>-</v>
      </c>
      <c r="ED35" s="110" t="str">
        <f t="shared" si="102"/>
        <v>-</v>
      </c>
      <c r="EE35" s="110" t="str">
        <f t="shared" si="103"/>
        <v>-</v>
      </c>
      <c r="EF35" s="111" t="str">
        <f t="shared" si="104"/>
        <v>-</v>
      </c>
      <c r="EG35" s="109" t="str">
        <f t="shared" si="105"/>
        <v>-</v>
      </c>
      <c r="EH35" s="110" t="str">
        <f t="shared" si="106"/>
        <v>-</v>
      </c>
      <c r="EI35" s="110" t="str">
        <f t="shared" si="107"/>
        <v>-</v>
      </c>
      <c r="EJ35" s="110" t="str">
        <f t="shared" si="108"/>
        <v>-</v>
      </c>
      <c r="EK35" s="110" t="str">
        <f t="shared" si="109"/>
        <v>-</v>
      </c>
      <c r="EL35" s="110" t="str">
        <f t="shared" si="110"/>
        <v>-</v>
      </c>
      <c r="EM35" s="110" t="str">
        <f t="shared" si="111"/>
        <v>-</v>
      </c>
      <c r="EN35" s="110" t="str">
        <f t="shared" si="112"/>
        <v>-</v>
      </c>
      <c r="EO35" s="111" t="str">
        <f t="shared" si="113"/>
        <v>-</v>
      </c>
      <c r="EQ35" s="118">
        <f t="shared" si="114"/>
        <v>62.66</v>
      </c>
      <c r="ER35" s="119" t="str">
        <f t="shared" si="115"/>
        <v>-</v>
      </c>
      <c r="ES35" s="120" t="str">
        <f t="shared" si="116"/>
        <v>-</v>
      </c>
      <c r="ET35" s="90">
        <v>2</v>
      </c>
      <c r="EU35" s="118">
        <f t="shared" si="117"/>
        <v>2</v>
      </c>
      <c r="EV35" s="119" t="str">
        <f t="shared" si="118"/>
        <v>-</v>
      </c>
      <c r="EW35" s="120" t="str">
        <f t="shared" si="119"/>
        <v>-</v>
      </c>
    </row>
    <row r="36" spans="1:153" ht="15.75" thickBot="1" x14ac:dyDescent="0.3">
      <c r="A36" s="41"/>
      <c r="B36" s="171" t="s">
        <v>473</v>
      </c>
      <c r="C36" s="171" t="s">
        <v>531</v>
      </c>
      <c r="D36" s="42">
        <f>VLOOKUP(B36,'BASE DE DATOS'!$B$3:$E$106,2,FALSE)</f>
        <v>32.53</v>
      </c>
      <c r="E36" s="42">
        <f>VLOOKUP(B36,'BASE DE DATOS'!$B$3:$E$106,4,FALSE)</f>
        <v>2.3300000000000018</v>
      </c>
      <c r="F36" s="42">
        <f>VLOOKUP(C36,'BASE DE DATOS'!$B$3:$E$106,2,FALSE)</f>
        <v>31.81</v>
      </c>
      <c r="G36" s="42">
        <f>VLOOKUP(C36,'BASE DE DATOS'!$B$3:$E$106,4,FALSE)</f>
        <v>2.9800000000000004</v>
      </c>
      <c r="H36" s="43">
        <f t="shared" si="135"/>
        <v>2.6550000000000011</v>
      </c>
      <c r="I36" s="171">
        <v>56.21</v>
      </c>
      <c r="J36" s="40">
        <f t="shared" si="132"/>
        <v>56.21</v>
      </c>
      <c r="K36" s="40">
        <f t="shared" si="133"/>
        <v>54.63</v>
      </c>
      <c r="L36" s="40">
        <f t="shared" si="134"/>
        <v>55.03</v>
      </c>
      <c r="M36" s="40">
        <f t="shared" si="124"/>
        <v>315</v>
      </c>
      <c r="N36" s="40">
        <f t="shared" si="125"/>
        <v>56.21</v>
      </c>
      <c r="O36" s="171" t="s">
        <v>121</v>
      </c>
      <c r="P36" s="19">
        <v>295.60000000000002</v>
      </c>
      <c r="Q36" s="171" t="s">
        <v>123</v>
      </c>
      <c r="R36" s="171" t="s">
        <v>133</v>
      </c>
      <c r="S36" s="171" t="s">
        <v>147</v>
      </c>
      <c r="T36" s="171" t="s">
        <v>146</v>
      </c>
      <c r="V36" s="51" t="str">
        <f t="shared" si="136"/>
        <v>-</v>
      </c>
      <c r="W36" s="52" t="str">
        <f t="shared" si="137"/>
        <v>-</v>
      </c>
      <c r="X36" s="52" t="str">
        <f t="shared" si="138"/>
        <v>-</v>
      </c>
      <c r="Y36" s="52" t="str">
        <f t="shared" si="139"/>
        <v>-</v>
      </c>
      <c r="Z36" s="52" t="str">
        <f t="shared" si="140"/>
        <v>-</v>
      </c>
      <c r="AA36" s="52" t="str">
        <f t="shared" si="141"/>
        <v>-</v>
      </c>
      <c r="AB36" s="52" t="str">
        <f t="shared" si="142"/>
        <v>-</v>
      </c>
      <c r="AC36" s="52" t="str">
        <f t="shared" si="143"/>
        <v>-</v>
      </c>
      <c r="AD36" s="52" t="str">
        <f t="shared" si="144"/>
        <v>-</v>
      </c>
      <c r="AE36" s="52" t="str">
        <f t="shared" si="145"/>
        <v>-</v>
      </c>
      <c r="AF36" s="52" t="str">
        <f t="shared" si="146"/>
        <v>-</v>
      </c>
      <c r="AG36" s="52" t="str">
        <f t="shared" si="147"/>
        <v>-</v>
      </c>
      <c r="AH36" s="52" t="str">
        <f t="shared" si="148"/>
        <v>-</v>
      </c>
      <c r="AI36" s="52" t="str">
        <f t="shared" si="149"/>
        <v>-</v>
      </c>
      <c r="AJ36" s="52" t="str">
        <f t="shared" si="150"/>
        <v>-</v>
      </c>
      <c r="AK36" s="52" t="str">
        <f t="shared" si="151"/>
        <v>-</v>
      </c>
      <c r="AL36" s="52" t="str">
        <f t="shared" si="152"/>
        <v>-</v>
      </c>
      <c r="AM36" s="53" t="str">
        <f t="shared" si="153"/>
        <v>-</v>
      </c>
      <c r="AN36" s="51" t="str">
        <f t="shared" si="154"/>
        <v>-</v>
      </c>
      <c r="AO36" s="52" t="str">
        <f t="shared" si="155"/>
        <v>-</v>
      </c>
      <c r="AP36" s="52" t="str">
        <f t="shared" si="156"/>
        <v>-</v>
      </c>
      <c r="AQ36" s="52" t="str">
        <f t="shared" si="157"/>
        <v>-</v>
      </c>
      <c r="AR36" s="52" t="str">
        <f t="shared" si="158"/>
        <v>-</v>
      </c>
      <c r="AS36" s="52" t="str">
        <f t="shared" si="159"/>
        <v>-</v>
      </c>
      <c r="AT36" s="52" t="str">
        <f t="shared" si="160"/>
        <v>-</v>
      </c>
      <c r="AU36" s="52" t="str">
        <f t="shared" si="161"/>
        <v>-</v>
      </c>
      <c r="AV36" s="52" t="str">
        <f t="shared" si="162"/>
        <v>-</v>
      </c>
      <c r="AW36" s="52" t="str">
        <f t="shared" si="163"/>
        <v>-</v>
      </c>
      <c r="AX36" s="52" t="str">
        <f t="shared" si="164"/>
        <v>-</v>
      </c>
      <c r="AY36" s="52">
        <f t="shared" si="165"/>
        <v>54.63</v>
      </c>
      <c r="AZ36" s="52" t="str">
        <f t="shared" si="166"/>
        <v>-</v>
      </c>
      <c r="BA36" s="52" t="str">
        <f t="shared" si="167"/>
        <v>-</v>
      </c>
      <c r="BB36" s="52" t="str">
        <f t="shared" si="168"/>
        <v>-</v>
      </c>
      <c r="BC36" s="52" t="str">
        <f t="shared" si="169"/>
        <v>-</v>
      </c>
      <c r="BD36" s="52" t="str">
        <f t="shared" si="170"/>
        <v>-</v>
      </c>
      <c r="BE36" s="53" t="str">
        <f t="shared" si="171"/>
        <v>-</v>
      </c>
      <c r="BF36" s="51" t="str">
        <f t="shared" si="172"/>
        <v>-</v>
      </c>
      <c r="BG36" s="52" t="str">
        <f t="shared" si="173"/>
        <v>-</v>
      </c>
      <c r="BH36" s="52" t="str">
        <f t="shared" si="174"/>
        <v>-</v>
      </c>
      <c r="BI36" s="52" t="str">
        <f t="shared" si="175"/>
        <v>-</v>
      </c>
      <c r="BJ36" s="52" t="str">
        <f t="shared" si="176"/>
        <v>-</v>
      </c>
      <c r="BK36" s="52" t="str">
        <f t="shared" si="177"/>
        <v>-</v>
      </c>
      <c r="BL36" s="52" t="str">
        <f t="shared" si="178"/>
        <v>-</v>
      </c>
      <c r="BM36" s="52" t="str">
        <f t="shared" si="179"/>
        <v>-</v>
      </c>
      <c r="BN36" s="52" t="str">
        <f t="shared" si="180"/>
        <v>-</v>
      </c>
      <c r="BO36" s="52" t="str">
        <f t="shared" si="181"/>
        <v>-</v>
      </c>
      <c r="BP36" s="52" t="str">
        <f t="shared" si="182"/>
        <v>-</v>
      </c>
      <c r="BQ36" s="52" t="str">
        <f t="shared" si="183"/>
        <v>-</v>
      </c>
      <c r="BR36" s="52" t="str">
        <f t="shared" si="184"/>
        <v>-</v>
      </c>
      <c r="BS36" s="52" t="str">
        <f t="shared" si="185"/>
        <v>-</v>
      </c>
      <c r="BT36" s="52" t="str">
        <f t="shared" si="186"/>
        <v>-</v>
      </c>
      <c r="BU36" s="52" t="str">
        <f t="shared" si="187"/>
        <v>-</v>
      </c>
      <c r="BV36" s="52" t="str">
        <f t="shared" si="188"/>
        <v>-</v>
      </c>
      <c r="BW36" s="53" t="str">
        <f t="shared" si="189"/>
        <v>-</v>
      </c>
      <c r="BX36" s="51" t="str">
        <f t="shared" si="190"/>
        <v>-</v>
      </c>
      <c r="BY36" s="52" t="str">
        <f t="shared" si="191"/>
        <v>-</v>
      </c>
      <c r="BZ36" s="52" t="str">
        <f t="shared" si="192"/>
        <v>-</v>
      </c>
      <c r="CA36" s="52" t="str">
        <f t="shared" si="193"/>
        <v>-</v>
      </c>
      <c r="CB36" s="52" t="str">
        <f t="shared" si="194"/>
        <v>-</v>
      </c>
      <c r="CC36" s="52" t="str">
        <f t="shared" si="195"/>
        <v>-</v>
      </c>
      <c r="CD36" s="52" t="str">
        <f t="shared" si="196"/>
        <v>-</v>
      </c>
      <c r="CE36" s="52" t="str">
        <f t="shared" si="197"/>
        <v>-</v>
      </c>
      <c r="CF36" s="52" t="str">
        <f t="shared" si="198"/>
        <v>-</v>
      </c>
      <c r="CG36" s="52" t="str">
        <f t="shared" si="199"/>
        <v>-</v>
      </c>
      <c r="CH36" s="52" t="str">
        <f t="shared" si="200"/>
        <v>-</v>
      </c>
      <c r="CI36" s="52" t="str">
        <f t="shared" si="201"/>
        <v>-</v>
      </c>
      <c r="CJ36" s="52" t="str">
        <f t="shared" si="202"/>
        <v>-</v>
      </c>
      <c r="CK36" s="52" t="str">
        <f t="shared" si="203"/>
        <v>-</v>
      </c>
      <c r="CL36" s="52" t="str">
        <f t="shared" si="204"/>
        <v>-</v>
      </c>
      <c r="CM36" s="52" t="str">
        <f t="shared" si="205"/>
        <v>-</v>
      </c>
      <c r="CN36" s="52" t="str">
        <f t="shared" si="206"/>
        <v>-</v>
      </c>
      <c r="CO36" s="53" t="str">
        <f t="shared" si="207"/>
        <v>-</v>
      </c>
      <c r="CQ36" s="305" t="str">
        <f t="shared" si="126"/>
        <v>-</v>
      </c>
      <c r="CR36" s="305">
        <f t="shared" si="127"/>
        <v>56.21</v>
      </c>
      <c r="CS36" s="305" t="str">
        <f t="shared" si="128"/>
        <v>-</v>
      </c>
      <c r="CT36" s="305" t="str">
        <f t="shared" si="129"/>
        <v>-</v>
      </c>
      <c r="CU36" s="305" t="str">
        <f t="shared" si="130"/>
        <v>-</v>
      </c>
      <c r="CV36" s="305" t="str">
        <f t="shared" si="131"/>
        <v>-</v>
      </c>
      <c r="CX36" s="51" t="str">
        <f t="shared" si="72"/>
        <v>-</v>
      </c>
      <c r="CY36" s="52" t="str">
        <f t="shared" si="73"/>
        <v>-</v>
      </c>
      <c r="CZ36" s="53" t="str">
        <f t="shared" si="74"/>
        <v>-</v>
      </c>
      <c r="DA36" s="51" t="str">
        <f t="shared" si="75"/>
        <v>-</v>
      </c>
      <c r="DB36" s="52">
        <f t="shared" si="76"/>
        <v>55.03</v>
      </c>
      <c r="DC36" s="53" t="str">
        <f t="shared" si="77"/>
        <v>-</v>
      </c>
      <c r="DD36" s="57"/>
      <c r="DE36" s="106" t="str">
        <f t="shared" si="78"/>
        <v>-</v>
      </c>
      <c r="DF36" s="107" t="str">
        <f t="shared" si="79"/>
        <v>-</v>
      </c>
      <c r="DG36" s="107" t="str">
        <f t="shared" si="80"/>
        <v>-</v>
      </c>
      <c r="DH36" s="107" t="str">
        <f t="shared" si="81"/>
        <v>-</v>
      </c>
      <c r="DI36" s="107" t="str">
        <f t="shared" si="82"/>
        <v>-</v>
      </c>
      <c r="DJ36" s="107" t="str">
        <f t="shared" si="83"/>
        <v>-</v>
      </c>
      <c r="DK36" s="107" t="str">
        <f t="shared" si="84"/>
        <v>-</v>
      </c>
      <c r="DL36" s="107" t="str">
        <f t="shared" si="85"/>
        <v>-</v>
      </c>
      <c r="DM36" s="108" t="str">
        <f t="shared" si="86"/>
        <v>-</v>
      </c>
      <c r="DO36" s="106" t="str">
        <f t="shared" si="87"/>
        <v>-</v>
      </c>
      <c r="DP36" s="107" t="str">
        <f t="shared" si="88"/>
        <v>-</v>
      </c>
      <c r="DQ36" s="107" t="str">
        <f t="shared" si="89"/>
        <v>-</v>
      </c>
      <c r="DR36" s="107" t="str">
        <f t="shared" si="90"/>
        <v>-</v>
      </c>
      <c r="DS36" s="107" t="str">
        <f t="shared" si="91"/>
        <v>-</v>
      </c>
      <c r="DT36" s="107" t="str">
        <f t="shared" si="92"/>
        <v>-</v>
      </c>
      <c r="DU36" s="107" t="str">
        <f t="shared" si="93"/>
        <v>-</v>
      </c>
      <c r="DV36" s="107" t="str">
        <f t="shared" si="94"/>
        <v>-</v>
      </c>
      <c r="DW36" s="108" t="str">
        <f t="shared" si="95"/>
        <v>-</v>
      </c>
      <c r="DX36" s="109" t="str">
        <f t="shared" si="96"/>
        <v>-</v>
      </c>
      <c r="DY36" s="110" t="str">
        <f t="shared" si="97"/>
        <v>-</v>
      </c>
      <c r="DZ36" s="110" t="str">
        <f t="shared" si="98"/>
        <v>-</v>
      </c>
      <c r="EA36" s="110" t="str">
        <f t="shared" si="99"/>
        <v>-</v>
      </c>
      <c r="EB36" s="110" t="str">
        <f t="shared" si="100"/>
        <v>-</v>
      </c>
      <c r="EC36" s="110" t="str">
        <f t="shared" si="101"/>
        <v>-</v>
      </c>
      <c r="ED36" s="110" t="str">
        <f t="shared" si="102"/>
        <v>-</v>
      </c>
      <c r="EE36" s="110" t="str">
        <f t="shared" si="103"/>
        <v>-</v>
      </c>
      <c r="EF36" s="111">
        <f t="shared" si="104"/>
        <v>56.21</v>
      </c>
      <c r="EG36" s="109" t="str">
        <f t="shared" si="105"/>
        <v>-</v>
      </c>
      <c r="EH36" s="110" t="str">
        <f t="shared" si="106"/>
        <v>-</v>
      </c>
      <c r="EI36" s="110" t="str">
        <f t="shared" si="107"/>
        <v>-</v>
      </c>
      <c r="EJ36" s="110" t="str">
        <f t="shared" si="108"/>
        <v>-</v>
      </c>
      <c r="EK36" s="110" t="str">
        <f t="shared" si="109"/>
        <v>-</v>
      </c>
      <c r="EL36" s="110" t="str">
        <f t="shared" si="110"/>
        <v>-</v>
      </c>
      <c r="EM36" s="110" t="str">
        <f t="shared" si="111"/>
        <v>-</v>
      </c>
      <c r="EN36" s="110" t="str">
        <f t="shared" si="112"/>
        <v>-</v>
      </c>
      <c r="EO36" s="111" t="str">
        <f t="shared" si="113"/>
        <v>-</v>
      </c>
      <c r="EQ36" s="118" t="str">
        <f t="shared" si="114"/>
        <v>-</v>
      </c>
      <c r="ER36" s="119" t="str">
        <f t="shared" si="115"/>
        <v>-</v>
      </c>
      <c r="ES36" s="120">
        <f t="shared" si="116"/>
        <v>55.03</v>
      </c>
      <c r="ET36" s="90">
        <v>2</v>
      </c>
      <c r="EU36" s="118" t="str">
        <f t="shared" si="117"/>
        <v>-</v>
      </c>
      <c r="EV36" s="119" t="str">
        <f t="shared" si="118"/>
        <v>-</v>
      </c>
      <c r="EW36" s="120">
        <f t="shared" si="119"/>
        <v>2</v>
      </c>
    </row>
    <row r="37" spans="1:153" ht="15.75" thickBot="1" x14ac:dyDescent="0.3">
      <c r="A37" s="41"/>
      <c r="B37" s="171" t="s">
        <v>474</v>
      </c>
      <c r="C37" s="171" t="s">
        <v>479</v>
      </c>
      <c r="D37" s="42">
        <f>VLOOKUP(B37,'BASE DE DATOS'!$B$3:$E$106,2,FALSE)</f>
        <v>35.340000000000003</v>
      </c>
      <c r="E37" s="42">
        <f>VLOOKUP(B37,'BASE DE DATOS'!$B$3:$E$106,4,FALSE)</f>
        <v>1.2000000000000028</v>
      </c>
      <c r="F37" s="42">
        <f>VLOOKUP(C37,'BASE DE DATOS'!$B$3:$E$106,2,FALSE)</f>
        <v>34.49</v>
      </c>
      <c r="G37" s="42">
        <f>VLOOKUP(C37,'BASE DE DATOS'!$B$3:$E$106,4,FALSE)</f>
        <v>1.8400000000000034</v>
      </c>
      <c r="H37" s="43">
        <f t="shared" si="135"/>
        <v>1.5200000000000031</v>
      </c>
      <c r="I37" s="171">
        <v>45.6</v>
      </c>
      <c r="J37" s="44">
        <f t="shared" si="132"/>
        <v>45.6</v>
      </c>
      <c r="K37" s="40">
        <f t="shared" si="133"/>
        <v>44.03</v>
      </c>
      <c r="L37" s="40">
        <f t="shared" si="134"/>
        <v>44.42</v>
      </c>
      <c r="M37" s="44">
        <f t="shared" si="124"/>
        <v>200</v>
      </c>
      <c r="N37" s="40">
        <f t="shared" si="125"/>
        <v>45.61</v>
      </c>
      <c r="O37" s="171" t="s">
        <v>120</v>
      </c>
      <c r="P37" s="19">
        <v>187.6</v>
      </c>
      <c r="Q37" s="171" t="s">
        <v>122</v>
      </c>
      <c r="R37" s="171" t="s">
        <v>133</v>
      </c>
      <c r="S37" s="171" t="s">
        <v>148</v>
      </c>
      <c r="T37" s="171" t="s">
        <v>149</v>
      </c>
      <c r="V37" s="51" t="str">
        <f t="shared" si="136"/>
        <v>-</v>
      </c>
      <c r="W37" s="52" t="str">
        <f t="shared" si="137"/>
        <v>-</v>
      </c>
      <c r="X37" s="52" t="str">
        <f t="shared" si="138"/>
        <v>-</v>
      </c>
      <c r="Y37" s="52" t="str">
        <f t="shared" si="139"/>
        <v>-</v>
      </c>
      <c r="Z37" s="52" t="str">
        <f t="shared" si="140"/>
        <v>-</v>
      </c>
      <c r="AA37" s="52" t="str">
        <f t="shared" si="141"/>
        <v>-</v>
      </c>
      <c r="AB37" s="52" t="str">
        <f t="shared" si="142"/>
        <v>-</v>
      </c>
      <c r="AC37" s="52" t="str">
        <f t="shared" si="143"/>
        <v>-</v>
      </c>
      <c r="AD37" s="52" t="str">
        <f t="shared" si="144"/>
        <v>-</v>
      </c>
      <c r="AE37" s="52" t="str">
        <f t="shared" si="145"/>
        <v>-</v>
      </c>
      <c r="AF37" s="52" t="str">
        <f t="shared" si="146"/>
        <v>-</v>
      </c>
      <c r="AG37" s="52" t="str">
        <f t="shared" si="147"/>
        <v>-</v>
      </c>
      <c r="AH37" s="52" t="str">
        <f t="shared" si="148"/>
        <v>-</v>
      </c>
      <c r="AI37" s="52" t="str">
        <f t="shared" si="149"/>
        <v>-</v>
      </c>
      <c r="AJ37" s="52" t="str">
        <f t="shared" si="150"/>
        <v>-</v>
      </c>
      <c r="AK37" s="52" t="str">
        <f t="shared" si="151"/>
        <v>-</v>
      </c>
      <c r="AL37" s="52" t="str">
        <f t="shared" si="152"/>
        <v>-</v>
      </c>
      <c r="AM37" s="53" t="str">
        <f t="shared" si="153"/>
        <v>-</v>
      </c>
      <c r="AN37" s="51" t="str">
        <f t="shared" si="154"/>
        <v>-</v>
      </c>
      <c r="AO37" s="52" t="str">
        <f t="shared" si="155"/>
        <v>-</v>
      </c>
      <c r="AP37" s="52" t="str">
        <f t="shared" si="156"/>
        <v>-</v>
      </c>
      <c r="AQ37" s="52" t="str">
        <f t="shared" si="157"/>
        <v>-</v>
      </c>
      <c r="AR37" s="52" t="str">
        <f t="shared" si="158"/>
        <v>-</v>
      </c>
      <c r="AS37" s="52" t="str">
        <f t="shared" si="159"/>
        <v>-</v>
      </c>
      <c r="AT37" s="52" t="str">
        <f t="shared" si="160"/>
        <v>-</v>
      </c>
      <c r="AU37" s="52" t="str">
        <f t="shared" si="161"/>
        <v>-</v>
      </c>
      <c r="AV37" s="52" t="str">
        <f t="shared" si="162"/>
        <v>-</v>
      </c>
      <c r="AW37" s="52" t="str">
        <f t="shared" si="163"/>
        <v>-</v>
      </c>
      <c r="AX37" s="52" t="str">
        <f t="shared" si="164"/>
        <v>-</v>
      </c>
      <c r="AY37" s="52" t="str">
        <f t="shared" si="165"/>
        <v>-</v>
      </c>
      <c r="AZ37" s="52" t="str">
        <f t="shared" si="166"/>
        <v>-</v>
      </c>
      <c r="BA37" s="52" t="str">
        <f t="shared" si="167"/>
        <v>-</v>
      </c>
      <c r="BB37" s="52" t="str">
        <f t="shared" si="168"/>
        <v>-</v>
      </c>
      <c r="BC37" s="52" t="str">
        <f t="shared" si="169"/>
        <v>-</v>
      </c>
      <c r="BD37" s="52" t="str">
        <f t="shared" si="170"/>
        <v>-</v>
      </c>
      <c r="BE37" s="53" t="str">
        <f t="shared" si="171"/>
        <v>-</v>
      </c>
      <c r="BF37" s="51" t="str">
        <f t="shared" si="172"/>
        <v>-</v>
      </c>
      <c r="BG37" s="52" t="str">
        <f t="shared" si="173"/>
        <v>-</v>
      </c>
      <c r="BH37" s="52" t="str">
        <f t="shared" si="174"/>
        <v>-</v>
      </c>
      <c r="BI37" s="52" t="str">
        <f t="shared" si="175"/>
        <v>-</v>
      </c>
      <c r="BJ37" s="52">
        <f t="shared" si="176"/>
        <v>44.03</v>
      </c>
      <c r="BK37" s="52" t="str">
        <f t="shared" si="177"/>
        <v>-</v>
      </c>
      <c r="BL37" s="52" t="str">
        <f t="shared" si="178"/>
        <v>-</v>
      </c>
      <c r="BM37" s="52" t="str">
        <f t="shared" si="179"/>
        <v>-</v>
      </c>
      <c r="BN37" s="52" t="str">
        <f t="shared" si="180"/>
        <v>-</v>
      </c>
      <c r="BO37" s="52" t="str">
        <f t="shared" si="181"/>
        <v>-</v>
      </c>
      <c r="BP37" s="52" t="str">
        <f t="shared" si="182"/>
        <v>-</v>
      </c>
      <c r="BQ37" s="52" t="str">
        <f t="shared" si="183"/>
        <v>-</v>
      </c>
      <c r="BR37" s="52" t="str">
        <f t="shared" si="184"/>
        <v>-</v>
      </c>
      <c r="BS37" s="52" t="str">
        <f t="shared" si="185"/>
        <v>-</v>
      </c>
      <c r="BT37" s="52" t="str">
        <f t="shared" si="186"/>
        <v>-</v>
      </c>
      <c r="BU37" s="52" t="str">
        <f t="shared" si="187"/>
        <v>-</v>
      </c>
      <c r="BV37" s="52" t="str">
        <f t="shared" si="188"/>
        <v>-</v>
      </c>
      <c r="BW37" s="53" t="str">
        <f t="shared" si="189"/>
        <v>-</v>
      </c>
      <c r="BX37" s="51" t="str">
        <f t="shared" si="190"/>
        <v>-</v>
      </c>
      <c r="BY37" s="52" t="str">
        <f t="shared" si="191"/>
        <v>-</v>
      </c>
      <c r="BZ37" s="52" t="str">
        <f t="shared" si="192"/>
        <v>-</v>
      </c>
      <c r="CA37" s="52" t="str">
        <f t="shared" si="193"/>
        <v>-</v>
      </c>
      <c r="CB37" s="52" t="str">
        <f t="shared" si="194"/>
        <v>-</v>
      </c>
      <c r="CC37" s="52" t="str">
        <f t="shared" si="195"/>
        <v>-</v>
      </c>
      <c r="CD37" s="52" t="str">
        <f t="shared" si="196"/>
        <v>-</v>
      </c>
      <c r="CE37" s="52" t="str">
        <f t="shared" si="197"/>
        <v>-</v>
      </c>
      <c r="CF37" s="52" t="str">
        <f t="shared" si="198"/>
        <v>-</v>
      </c>
      <c r="CG37" s="52" t="str">
        <f t="shared" si="199"/>
        <v>-</v>
      </c>
      <c r="CH37" s="52" t="str">
        <f t="shared" si="200"/>
        <v>-</v>
      </c>
      <c r="CI37" s="52" t="str">
        <f t="shared" si="201"/>
        <v>-</v>
      </c>
      <c r="CJ37" s="52" t="str">
        <f t="shared" si="202"/>
        <v>-</v>
      </c>
      <c r="CK37" s="52" t="str">
        <f t="shared" si="203"/>
        <v>-</v>
      </c>
      <c r="CL37" s="52" t="str">
        <f t="shared" si="204"/>
        <v>-</v>
      </c>
      <c r="CM37" s="52" t="str">
        <f t="shared" si="205"/>
        <v>-</v>
      </c>
      <c r="CN37" s="52" t="str">
        <f t="shared" si="206"/>
        <v>-</v>
      </c>
      <c r="CO37" s="53" t="str">
        <f t="shared" si="207"/>
        <v>-</v>
      </c>
      <c r="CQ37" s="305" t="str">
        <f t="shared" si="126"/>
        <v>-</v>
      </c>
      <c r="CR37" s="305" t="str">
        <f t="shared" si="127"/>
        <v>-</v>
      </c>
      <c r="CS37" s="305" t="str">
        <f t="shared" si="128"/>
        <v>-</v>
      </c>
      <c r="CT37" s="305">
        <f t="shared" si="129"/>
        <v>45.61</v>
      </c>
      <c r="CU37" s="305" t="str">
        <f t="shared" si="130"/>
        <v>-</v>
      </c>
      <c r="CV37" s="305" t="str">
        <f t="shared" si="131"/>
        <v>-</v>
      </c>
      <c r="CX37" s="51">
        <f t="shared" si="72"/>
        <v>44.42</v>
      </c>
      <c r="CY37" s="52" t="str">
        <f t="shared" si="73"/>
        <v>-</v>
      </c>
      <c r="CZ37" s="53" t="str">
        <f t="shared" si="74"/>
        <v>-</v>
      </c>
      <c r="DA37" s="51" t="str">
        <f t="shared" si="75"/>
        <v>-</v>
      </c>
      <c r="DB37" s="52" t="str">
        <f t="shared" si="76"/>
        <v>-</v>
      </c>
      <c r="DC37" s="53" t="str">
        <f t="shared" si="77"/>
        <v>-</v>
      </c>
      <c r="DD37" s="57"/>
      <c r="DE37" s="106" t="str">
        <f t="shared" si="78"/>
        <v>-</v>
      </c>
      <c r="DF37" s="107" t="str">
        <f t="shared" si="79"/>
        <v>-</v>
      </c>
      <c r="DG37" s="107" t="str">
        <f t="shared" si="80"/>
        <v>-</v>
      </c>
      <c r="DH37" s="107">
        <f t="shared" si="81"/>
        <v>44.42</v>
      </c>
      <c r="DI37" s="107" t="str">
        <f t="shared" si="82"/>
        <v>-</v>
      </c>
      <c r="DJ37" s="107" t="str">
        <f t="shared" si="83"/>
        <v>-</v>
      </c>
      <c r="DK37" s="107" t="str">
        <f t="shared" si="84"/>
        <v>-</v>
      </c>
      <c r="DL37" s="107" t="str">
        <f t="shared" si="85"/>
        <v>-</v>
      </c>
      <c r="DM37" s="108" t="str">
        <f t="shared" si="86"/>
        <v>-</v>
      </c>
      <c r="DO37" s="106" t="str">
        <f t="shared" si="87"/>
        <v>-</v>
      </c>
      <c r="DP37" s="107" t="str">
        <f t="shared" si="88"/>
        <v>-</v>
      </c>
      <c r="DQ37" s="107" t="str">
        <f t="shared" si="89"/>
        <v>-</v>
      </c>
      <c r="DR37" s="107">
        <f t="shared" si="90"/>
        <v>44.42</v>
      </c>
      <c r="DS37" s="107" t="str">
        <f t="shared" si="91"/>
        <v>-</v>
      </c>
      <c r="DT37" s="107" t="str">
        <f t="shared" si="92"/>
        <v>-</v>
      </c>
      <c r="DU37" s="107" t="str">
        <f t="shared" si="93"/>
        <v>-</v>
      </c>
      <c r="DV37" s="107" t="str">
        <f t="shared" si="94"/>
        <v>-</v>
      </c>
      <c r="DW37" s="108" t="str">
        <f t="shared" si="95"/>
        <v>-</v>
      </c>
      <c r="DX37" s="109" t="str">
        <f t="shared" si="96"/>
        <v>-</v>
      </c>
      <c r="DY37" s="110" t="str">
        <f t="shared" si="97"/>
        <v>-</v>
      </c>
      <c r="DZ37" s="110" t="str">
        <f t="shared" si="98"/>
        <v>-</v>
      </c>
      <c r="EA37" s="110" t="str">
        <f t="shared" si="99"/>
        <v>-</v>
      </c>
      <c r="EB37" s="110" t="str">
        <f t="shared" si="100"/>
        <v>-</v>
      </c>
      <c r="EC37" s="110" t="str">
        <f t="shared" si="101"/>
        <v>-</v>
      </c>
      <c r="ED37" s="110" t="str">
        <f t="shared" si="102"/>
        <v>-</v>
      </c>
      <c r="EE37" s="110" t="str">
        <f t="shared" si="103"/>
        <v>-</v>
      </c>
      <c r="EF37" s="111" t="str">
        <f t="shared" si="104"/>
        <v>-</v>
      </c>
      <c r="EG37" s="109" t="str">
        <f t="shared" si="105"/>
        <v>-</v>
      </c>
      <c r="EH37" s="110" t="str">
        <f t="shared" si="106"/>
        <v>-</v>
      </c>
      <c r="EI37" s="110" t="str">
        <f t="shared" si="107"/>
        <v>-</v>
      </c>
      <c r="EJ37" s="110" t="str">
        <f t="shared" si="108"/>
        <v>-</v>
      </c>
      <c r="EK37" s="110" t="str">
        <f t="shared" si="109"/>
        <v>-</v>
      </c>
      <c r="EL37" s="110" t="str">
        <f t="shared" si="110"/>
        <v>-</v>
      </c>
      <c r="EM37" s="110" t="str">
        <f t="shared" si="111"/>
        <v>-</v>
      </c>
      <c r="EN37" s="110" t="str">
        <f t="shared" si="112"/>
        <v>-</v>
      </c>
      <c r="EO37" s="111" t="str">
        <f t="shared" si="113"/>
        <v>-</v>
      </c>
      <c r="EQ37" s="118">
        <f t="shared" si="114"/>
        <v>44.42</v>
      </c>
      <c r="ER37" s="119" t="str">
        <f t="shared" si="115"/>
        <v>-</v>
      </c>
      <c r="ES37" s="120" t="str">
        <f t="shared" si="116"/>
        <v>-</v>
      </c>
      <c r="ET37" s="90">
        <v>2</v>
      </c>
      <c r="EU37" s="118">
        <f t="shared" si="117"/>
        <v>2</v>
      </c>
      <c r="EV37" s="119" t="str">
        <f t="shared" si="118"/>
        <v>-</v>
      </c>
      <c r="EW37" s="120" t="str">
        <f t="shared" si="119"/>
        <v>-</v>
      </c>
    </row>
    <row r="38" spans="1:153" ht="15.75" thickBot="1" x14ac:dyDescent="0.3">
      <c r="A38" s="41"/>
      <c r="B38" s="171" t="s">
        <v>475</v>
      </c>
      <c r="C38" s="171" t="s">
        <v>476</v>
      </c>
      <c r="D38" s="42">
        <f>VLOOKUP(B38,'BASE DE DATOS'!$B$3:$E$106,2,FALSE)</f>
        <v>35.19</v>
      </c>
      <c r="E38" s="42">
        <f>VLOOKUP(B38,'BASE DE DATOS'!$B$3:$E$106,4,FALSE)</f>
        <v>1.1999999999999957</v>
      </c>
      <c r="F38" s="42">
        <f>VLOOKUP(C38,'BASE DE DATOS'!$B$3:$E$106,2,FALSE)</f>
        <v>34.76</v>
      </c>
      <c r="G38" s="42">
        <f>VLOOKUP(C38,'BASE DE DATOS'!$B$3:$E$106,4,FALSE)</f>
        <v>2.009999999999998</v>
      </c>
      <c r="H38" s="43">
        <f t="shared" si="135"/>
        <v>1.6049999999999969</v>
      </c>
      <c r="I38" s="171">
        <v>28.6</v>
      </c>
      <c r="J38" s="44">
        <f t="shared" si="132"/>
        <v>28.61</v>
      </c>
      <c r="K38" s="40">
        <f t="shared" si="133"/>
        <v>27.03</v>
      </c>
      <c r="L38" s="40">
        <f t="shared" si="134"/>
        <v>27.43</v>
      </c>
      <c r="M38" s="44">
        <f t="shared" si="124"/>
        <v>200</v>
      </c>
      <c r="N38" s="40">
        <f t="shared" si="125"/>
        <v>28.6</v>
      </c>
      <c r="O38" s="171" t="s">
        <v>120</v>
      </c>
      <c r="P38" s="19">
        <v>187.6</v>
      </c>
      <c r="Q38" s="171" t="s">
        <v>123</v>
      </c>
      <c r="R38" s="171" t="s">
        <v>133</v>
      </c>
      <c r="S38" s="171" t="s">
        <v>147</v>
      </c>
      <c r="T38" s="171" t="s">
        <v>146</v>
      </c>
      <c r="V38" s="51" t="str">
        <f t="shared" si="136"/>
        <v>-</v>
      </c>
      <c r="W38" s="52" t="str">
        <f t="shared" si="137"/>
        <v>-</v>
      </c>
      <c r="X38" s="52" t="str">
        <f t="shared" si="138"/>
        <v>-</v>
      </c>
      <c r="Y38" s="52" t="str">
        <f t="shared" si="139"/>
        <v>-</v>
      </c>
      <c r="Z38" s="52" t="str">
        <f t="shared" si="140"/>
        <v>-</v>
      </c>
      <c r="AA38" s="52">
        <f t="shared" si="141"/>
        <v>27.03</v>
      </c>
      <c r="AB38" s="52" t="str">
        <f t="shared" si="142"/>
        <v>-</v>
      </c>
      <c r="AC38" s="52" t="str">
        <f t="shared" si="143"/>
        <v>-</v>
      </c>
      <c r="AD38" s="52" t="str">
        <f t="shared" si="144"/>
        <v>-</v>
      </c>
      <c r="AE38" s="52" t="str">
        <f t="shared" si="145"/>
        <v>-</v>
      </c>
      <c r="AF38" s="52" t="str">
        <f t="shared" si="146"/>
        <v>-</v>
      </c>
      <c r="AG38" s="52" t="str">
        <f t="shared" si="147"/>
        <v>-</v>
      </c>
      <c r="AH38" s="52" t="str">
        <f t="shared" si="148"/>
        <v>-</v>
      </c>
      <c r="AI38" s="52" t="str">
        <f t="shared" si="149"/>
        <v>-</v>
      </c>
      <c r="AJ38" s="52" t="str">
        <f t="shared" si="150"/>
        <v>-</v>
      </c>
      <c r="AK38" s="52" t="str">
        <f t="shared" si="151"/>
        <v>-</v>
      </c>
      <c r="AL38" s="52" t="str">
        <f t="shared" si="152"/>
        <v>-</v>
      </c>
      <c r="AM38" s="53" t="str">
        <f t="shared" si="153"/>
        <v>-</v>
      </c>
      <c r="AN38" s="51" t="str">
        <f t="shared" si="154"/>
        <v>-</v>
      </c>
      <c r="AO38" s="52" t="str">
        <f t="shared" si="155"/>
        <v>-</v>
      </c>
      <c r="AP38" s="52" t="str">
        <f t="shared" si="156"/>
        <v>-</v>
      </c>
      <c r="AQ38" s="52" t="str">
        <f t="shared" si="157"/>
        <v>-</v>
      </c>
      <c r="AR38" s="52" t="str">
        <f t="shared" si="158"/>
        <v>-</v>
      </c>
      <c r="AS38" s="52" t="str">
        <f t="shared" si="159"/>
        <v>-</v>
      </c>
      <c r="AT38" s="52" t="str">
        <f t="shared" si="160"/>
        <v>-</v>
      </c>
      <c r="AU38" s="52" t="str">
        <f t="shared" si="161"/>
        <v>-</v>
      </c>
      <c r="AV38" s="52" t="str">
        <f t="shared" si="162"/>
        <v>-</v>
      </c>
      <c r="AW38" s="52" t="str">
        <f t="shared" si="163"/>
        <v>-</v>
      </c>
      <c r="AX38" s="52" t="str">
        <f t="shared" si="164"/>
        <v>-</v>
      </c>
      <c r="AY38" s="52" t="str">
        <f t="shared" si="165"/>
        <v>-</v>
      </c>
      <c r="AZ38" s="52" t="str">
        <f t="shared" si="166"/>
        <v>-</v>
      </c>
      <c r="BA38" s="52" t="str">
        <f t="shared" si="167"/>
        <v>-</v>
      </c>
      <c r="BB38" s="52" t="str">
        <f t="shared" si="168"/>
        <v>-</v>
      </c>
      <c r="BC38" s="52" t="str">
        <f t="shared" si="169"/>
        <v>-</v>
      </c>
      <c r="BD38" s="52" t="str">
        <f t="shared" si="170"/>
        <v>-</v>
      </c>
      <c r="BE38" s="53" t="str">
        <f t="shared" si="171"/>
        <v>-</v>
      </c>
      <c r="BF38" s="51" t="str">
        <f t="shared" si="172"/>
        <v>-</v>
      </c>
      <c r="BG38" s="52" t="str">
        <f t="shared" si="173"/>
        <v>-</v>
      </c>
      <c r="BH38" s="52" t="str">
        <f t="shared" si="174"/>
        <v>-</v>
      </c>
      <c r="BI38" s="52" t="str">
        <f t="shared" si="175"/>
        <v>-</v>
      </c>
      <c r="BJ38" s="52" t="str">
        <f t="shared" si="176"/>
        <v>-</v>
      </c>
      <c r="BK38" s="52" t="str">
        <f t="shared" si="177"/>
        <v>-</v>
      </c>
      <c r="BL38" s="52" t="str">
        <f t="shared" si="178"/>
        <v>-</v>
      </c>
      <c r="BM38" s="52" t="str">
        <f t="shared" si="179"/>
        <v>-</v>
      </c>
      <c r="BN38" s="52" t="str">
        <f t="shared" si="180"/>
        <v>-</v>
      </c>
      <c r="BO38" s="52" t="str">
        <f t="shared" si="181"/>
        <v>-</v>
      </c>
      <c r="BP38" s="52" t="str">
        <f t="shared" si="182"/>
        <v>-</v>
      </c>
      <c r="BQ38" s="52" t="str">
        <f t="shared" si="183"/>
        <v>-</v>
      </c>
      <c r="BR38" s="52" t="str">
        <f t="shared" si="184"/>
        <v>-</v>
      </c>
      <c r="BS38" s="52" t="str">
        <f t="shared" si="185"/>
        <v>-</v>
      </c>
      <c r="BT38" s="52" t="str">
        <f t="shared" si="186"/>
        <v>-</v>
      </c>
      <c r="BU38" s="52" t="str">
        <f t="shared" si="187"/>
        <v>-</v>
      </c>
      <c r="BV38" s="52" t="str">
        <f t="shared" si="188"/>
        <v>-</v>
      </c>
      <c r="BW38" s="53" t="str">
        <f t="shared" si="189"/>
        <v>-</v>
      </c>
      <c r="BX38" s="51" t="str">
        <f t="shared" si="190"/>
        <v>-</v>
      </c>
      <c r="BY38" s="52" t="str">
        <f t="shared" si="191"/>
        <v>-</v>
      </c>
      <c r="BZ38" s="52" t="str">
        <f t="shared" si="192"/>
        <v>-</v>
      </c>
      <c r="CA38" s="52" t="str">
        <f t="shared" si="193"/>
        <v>-</v>
      </c>
      <c r="CB38" s="52" t="str">
        <f t="shared" si="194"/>
        <v>-</v>
      </c>
      <c r="CC38" s="52" t="str">
        <f t="shared" si="195"/>
        <v>-</v>
      </c>
      <c r="CD38" s="52" t="str">
        <f t="shared" si="196"/>
        <v>-</v>
      </c>
      <c r="CE38" s="52" t="str">
        <f t="shared" si="197"/>
        <v>-</v>
      </c>
      <c r="CF38" s="52" t="str">
        <f t="shared" si="198"/>
        <v>-</v>
      </c>
      <c r="CG38" s="52" t="str">
        <f t="shared" si="199"/>
        <v>-</v>
      </c>
      <c r="CH38" s="52" t="str">
        <f t="shared" si="200"/>
        <v>-</v>
      </c>
      <c r="CI38" s="52" t="str">
        <f t="shared" si="201"/>
        <v>-</v>
      </c>
      <c r="CJ38" s="52" t="str">
        <f t="shared" si="202"/>
        <v>-</v>
      </c>
      <c r="CK38" s="52" t="str">
        <f t="shared" si="203"/>
        <v>-</v>
      </c>
      <c r="CL38" s="52" t="str">
        <f t="shared" si="204"/>
        <v>-</v>
      </c>
      <c r="CM38" s="52" t="str">
        <f t="shared" si="205"/>
        <v>-</v>
      </c>
      <c r="CN38" s="52" t="str">
        <f t="shared" si="206"/>
        <v>-</v>
      </c>
      <c r="CO38" s="53" t="str">
        <f t="shared" si="207"/>
        <v>-</v>
      </c>
      <c r="CQ38" s="305" t="str">
        <f t="shared" si="126"/>
        <v>-</v>
      </c>
      <c r="CR38" s="305">
        <f t="shared" si="127"/>
        <v>28.6</v>
      </c>
      <c r="CS38" s="305" t="str">
        <f t="shared" si="128"/>
        <v>-</v>
      </c>
      <c r="CT38" s="305" t="str">
        <f t="shared" si="129"/>
        <v>-</v>
      </c>
      <c r="CU38" s="305" t="str">
        <f t="shared" si="130"/>
        <v>-</v>
      </c>
      <c r="CV38" s="305" t="str">
        <f t="shared" si="131"/>
        <v>-</v>
      </c>
      <c r="CX38" s="51" t="str">
        <f t="shared" ref="CX38:CX69" si="208">IF(AND($Q38="R",$M38&gt;=200,$M38&lt;=250)=TRUE,$L38,"-")</f>
        <v>-</v>
      </c>
      <c r="CY38" s="52">
        <f t="shared" ref="CY38:CY69" si="209">IF(AND($Q38="p",$M38&gt;=200,$M38&lt;=250)=TRUE,$L38,"-")</f>
        <v>27.43</v>
      </c>
      <c r="CZ38" s="53" t="str">
        <f t="shared" ref="CZ38:CZ69" si="210">IF(AND($Q38="E",$M38&gt;=200,$M38&lt;=250)=TRUE,$L38,"-")</f>
        <v>-</v>
      </c>
      <c r="DA38" s="51" t="str">
        <f t="shared" ref="DA38:DA69" si="211">IF(AND($Q38="R",$M38&gt;=300,$M38&lt;=350)=TRUE,$L38,"-")</f>
        <v>-</v>
      </c>
      <c r="DB38" s="52" t="str">
        <f t="shared" ref="DB38:DB69" si="212">IF(AND($Q38="P",$M38&gt;=300,$M38&lt;=350)=TRUE,$L38,"-")</f>
        <v>-</v>
      </c>
      <c r="DC38" s="53" t="str">
        <f t="shared" ref="DC38:DC69" si="213">IF(AND($Q38="E",$M38&gt;=300,$M38&lt;=350)=TRUE,$L38,"-")</f>
        <v>-</v>
      </c>
      <c r="DD38" s="57"/>
      <c r="DE38" s="106" t="str">
        <f t="shared" ref="DE38:DE69" si="214">IF(AND($Q38="R",$M38=200,$O38="CSN")=TRUE,$L38,"-")</f>
        <v>-</v>
      </c>
      <c r="DF38" s="107" t="str">
        <f t="shared" ref="DF38:DF69" si="215">IF(AND($Q38="R",$M38=250,$O38="CSN")=TRUE,$L38,"-")</f>
        <v>-</v>
      </c>
      <c r="DG38" s="107" t="str">
        <f t="shared" ref="DG38:DG69" si="216">IF(AND($Q38="R",$M38=315,$O38="CSN")=TRUE,$L38,"-")</f>
        <v>-</v>
      </c>
      <c r="DH38" s="107" t="str">
        <f t="shared" ref="DH38:DH69" si="217">IF(AND($Q38="R",$M38=200,$O38="HDPE")=TRUE,$L38,"-")</f>
        <v>-</v>
      </c>
      <c r="DI38" s="107" t="str">
        <f t="shared" ref="DI38:DI69" si="218">IF(AND($Q38="R",$M38=250,$O38="HDPE")=TRUE,$L38,"-")</f>
        <v>-</v>
      </c>
      <c r="DJ38" s="107" t="str">
        <f t="shared" ref="DJ38:DJ69" si="219">IF(AND($Q38="R",$M38=315,$O38="HDPE")=TRUE,$L38,"-")</f>
        <v>-</v>
      </c>
      <c r="DK38" s="107" t="str">
        <f t="shared" ref="DK38:DK69" si="220">IF(AND($Q38="R",$M38=200,$O38="PVC")=TRUE,$L38,"-")</f>
        <v>-</v>
      </c>
      <c r="DL38" s="107" t="str">
        <f t="shared" ref="DL38:DL69" si="221">IF(AND($Q38="R",$M38=250,$O38="PVC")=TRUE,$L38,"-")</f>
        <v>-</v>
      </c>
      <c r="DM38" s="108" t="str">
        <f t="shared" ref="DM38:DM69" si="222">IF(AND($Q38="R",$M38=315,$O38="PVC")=TRUE,$L38,"-")</f>
        <v>-</v>
      </c>
      <c r="DO38" s="106" t="str">
        <f t="shared" ref="DO38:DO69" si="223">IF(AND($Q38="R",$M38=200,$O38="CSN")=TRUE,$L38,"-")</f>
        <v>-</v>
      </c>
      <c r="DP38" s="107" t="str">
        <f t="shared" ref="DP38:DP69" si="224">IF(AND($Q38="R",$M38=250,$O38="CSN")=TRUE,$L38,"-")</f>
        <v>-</v>
      </c>
      <c r="DQ38" s="107" t="str">
        <f t="shared" ref="DQ38:DQ69" si="225">IF(AND($Q38="R",$M38=315,$O38="CSN")=TRUE,$L38,"-")</f>
        <v>-</v>
      </c>
      <c r="DR38" s="107" t="str">
        <f t="shared" ref="DR38:DR69" si="226">IF(AND($Q38="R",$M38=200,$O38="HDPE")=TRUE,$L38,"-")</f>
        <v>-</v>
      </c>
      <c r="DS38" s="107" t="str">
        <f t="shared" ref="DS38:DS69" si="227">IF(AND($Q38="R",$M38=250,$O38="HDPE")=TRUE,$L38,"-")</f>
        <v>-</v>
      </c>
      <c r="DT38" s="107" t="str">
        <f t="shared" ref="DT38:DT69" si="228">IF(AND($Q38="R",$M38=315,$O38="HDPE")=TRUE,$L38,"-")</f>
        <v>-</v>
      </c>
      <c r="DU38" s="107" t="str">
        <f t="shared" ref="DU38:DU69" si="229">IF(AND($Q38="R",$M38=200,$O38="PVC")=TRUE,$L38,"-")</f>
        <v>-</v>
      </c>
      <c r="DV38" s="107" t="str">
        <f t="shared" ref="DV38:DV69" si="230">IF(AND($Q38="R",$M38=250,$O38="PVC")=TRUE,$L38,"-")</f>
        <v>-</v>
      </c>
      <c r="DW38" s="108" t="str">
        <f t="shared" ref="DW38:DW69" si="231">IF(AND($Q38="R",$M38=315,$O38="PVC")=TRUE,$L38,"-")</f>
        <v>-</v>
      </c>
      <c r="DX38" s="109" t="str">
        <f t="shared" ref="DX38:DX69" si="232">IF(AND($Q38="P",$M38=200,$O38="CSN")=TRUE,$I38,"-")</f>
        <v>-</v>
      </c>
      <c r="DY38" s="110" t="str">
        <f t="shared" ref="DY38:DY69" si="233">IF(AND($Q38="P",$M38=250,$O38="CSN")=TRUE,$I38,"-")</f>
        <v>-</v>
      </c>
      <c r="DZ38" s="110" t="str">
        <f t="shared" ref="DZ38:DZ69" si="234">IF(AND($Q38="P",$M38=315,$O38="CSN")=TRUE,$I38,"-")</f>
        <v>-</v>
      </c>
      <c r="EA38" s="110">
        <f t="shared" ref="EA38:EA69" si="235">IF(AND($Q38="P",$M38=200,$O38="HDPE")=TRUE,$I38,"-")</f>
        <v>28.6</v>
      </c>
      <c r="EB38" s="110" t="str">
        <f t="shared" ref="EB38:EB69" si="236">IF(AND($Q38="P",$M38=250,$O38="HDPE")=TRUE,$I38,"-")</f>
        <v>-</v>
      </c>
      <c r="EC38" s="110" t="str">
        <f t="shared" ref="EC38:EC69" si="237">IF(AND($Q38="P",$M38=315,$O38="HDPE")=TRUE,$I38,"-")</f>
        <v>-</v>
      </c>
      <c r="ED38" s="110" t="str">
        <f t="shared" ref="ED38:ED69" si="238">IF(AND($Q38="P",$M38=200,$O38="PVC")=TRUE,$I38,"-")</f>
        <v>-</v>
      </c>
      <c r="EE38" s="110" t="str">
        <f t="shared" ref="EE38:EE69" si="239">IF(AND($Q38="P",$M38=250,$O38="PVC")=TRUE,$I38,"-")</f>
        <v>-</v>
      </c>
      <c r="EF38" s="111" t="str">
        <f t="shared" ref="EF38:EF69" si="240">IF(AND($Q38="P",$M38=315,$O38="PVC")=TRUE,$I38,"-")</f>
        <v>-</v>
      </c>
      <c r="EG38" s="109" t="str">
        <f t="shared" ref="EG38:EG69" si="241">IF(AND($Q38="E",$M38=200,$O38="CSN")=TRUE,$I38,"-")</f>
        <v>-</v>
      </c>
      <c r="EH38" s="110" t="str">
        <f t="shared" ref="EH38:EH69" si="242">IF(AND($Q38="E",$M38=250,$O38="CSN")=TRUE,$I38,"-")</f>
        <v>-</v>
      </c>
      <c r="EI38" s="110" t="str">
        <f t="shared" ref="EI38:EI69" si="243">IF(AND($Q38="E",$M38=315,$O38="CSN")=TRUE,$I38,"-")</f>
        <v>-</v>
      </c>
      <c r="EJ38" s="110" t="str">
        <f t="shared" ref="EJ38:EJ69" si="244">IF(AND($Q38="E",$M38=200,$O38="HDPE")=TRUE,$I38,"-")</f>
        <v>-</v>
      </c>
      <c r="EK38" s="110" t="str">
        <f t="shared" ref="EK38:EK69" si="245">IF(AND($Q38="E",$M38=250,$O38="HDPE")=TRUE,$I38,"-")</f>
        <v>-</v>
      </c>
      <c r="EL38" s="110" t="str">
        <f t="shared" ref="EL38:EL69" si="246">IF(AND($Q38="E",$M38=315,$O38="HDPE")=TRUE,$I38,"-")</f>
        <v>-</v>
      </c>
      <c r="EM38" s="110" t="str">
        <f t="shared" ref="EM38:EM69" si="247">IF(AND($Q38="E",$M38=200,$O38="PVC")=TRUE,$I38,"-")</f>
        <v>-</v>
      </c>
      <c r="EN38" s="110" t="str">
        <f t="shared" ref="EN38:EN69" si="248">IF(AND($Q38="E",$M38=250,$O38="PVC")=TRUE,$I38,"-")</f>
        <v>-</v>
      </c>
      <c r="EO38" s="111" t="str">
        <f t="shared" ref="EO38:EO69" si="249">IF(AND($Q38="E",$M38=315,$O38="PVC")=TRUE,$I38,"-")</f>
        <v>-</v>
      </c>
      <c r="EQ38" s="118">
        <f t="shared" ref="EQ38:EQ69" si="250">IF($Q38="E","-",IF($M38=200,$L38,"-"))</f>
        <v>27.43</v>
      </c>
      <c r="ER38" s="119" t="str">
        <f t="shared" ref="ER38:ER69" si="251">IF($Q38="E","-",IF($M38=250,$L38,"-"))</f>
        <v>-</v>
      </c>
      <c r="ES38" s="120" t="str">
        <f t="shared" ref="ES38:ES69" si="252">IF($Q38="E","-",IF($M38=315,$L38,"-"))</f>
        <v>-</v>
      </c>
      <c r="ET38" s="90">
        <v>2</v>
      </c>
      <c r="EU38" s="118">
        <f t="shared" ref="EU38:EU69" si="253">IF($Q38="E","-",IF($M38=200,$ET38,"-"))</f>
        <v>2</v>
      </c>
      <c r="EV38" s="119" t="str">
        <f t="shared" ref="EV38:EV69" si="254">IF($Q38="E","-",IF($M38=250,$ET38,"-"))</f>
        <v>-</v>
      </c>
      <c r="EW38" s="120" t="str">
        <f t="shared" ref="EW38:EW69" si="255">IF($Q38="E","-",IF($M38=315,$ET38,"-"))</f>
        <v>-</v>
      </c>
    </row>
    <row r="39" spans="1:153" ht="15.75" thickBot="1" x14ac:dyDescent="0.3">
      <c r="A39" s="41"/>
      <c r="B39" s="171" t="s">
        <v>476</v>
      </c>
      <c r="C39" s="171" t="s">
        <v>479</v>
      </c>
      <c r="D39" s="38">
        <f>VLOOKUP(B39,'BASE DE DATOS'!$B$3:$E$106,2,FALSE)</f>
        <v>34.76</v>
      </c>
      <c r="E39" s="38">
        <f>VLOOKUP(B39,'BASE DE DATOS'!$B$3:$E$106,4,FALSE)</f>
        <v>2.009999999999998</v>
      </c>
      <c r="F39" s="38">
        <f>VLOOKUP(C39,'BASE DE DATOS'!$B$3:$E$106,2,FALSE)</f>
        <v>34.49</v>
      </c>
      <c r="G39" s="38">
        <f>VLOOKUP(C39,'BASE DE DATOS'!$B$3:$E$106,4,FALSE)</f>
        <v>1.8400000000000034</v>
      </c>
      <c r="H39" s="39">
        <f t="shared" si="135"/>
        <v>1.9250000000000007</v>
      </c>
      <c r="I39" s="171">
        <v>18.350000000000001</v>
      </c>
      <c r="J39" s="44">
        <f t="shared" si="132"/>
        <v>18.350000000000001</v>
      </c>
      <c r="K39" s="40">
        <f t="shared" si="133"/>
        <v>16.75</v>
      </c>
      <c r="L39" s="40">
        <f t="shared" si="134"/>
        <v>17.149999999999999</v>
      </c>
      <c r="M39" s="44">
        <f t="shared" si="124"/>
        <v>200</v>
      </c>
      <c r="N39" s="40">
        <f t="shared" si="125"/>
        <v>18.350000000000001</v>
      </c>
      <c r="O39" s="171" t="s">
        <v>120</v>
      </c>
      <c r="P39" s="19">
        <v>187.6</v>
      </c>
      <c r="Q39" s="171" t="s">
        <v>123</v>
      </c>
      <c r="R39" s="171" t="s">
        <v>133</v>
      </c>
      <c r="S39" s="171" t="s">
        <v>147</v>
      </c>
      <c r="T39" s="171" t="s">
        <v>146</v>
      </c>
      <c r="V39" s="51" t="str">
        <f t="shared" si="136"/>
        <v>-</v>
      </c>
      <c r="W39" s="52" t="str">
        <f t="shared" si="137"/>
        <v>-</v>
      </c>
      <c r="X39" s="52" t="str">
        <f t="shared" si="138"/>
        <v>-</v>
      </c>
      <c r="Y39" s="52" t="str">
        <f t="shared" si="139"/>
        <v>-</v>
      </c>
      <c r="Z39" s="52" t="str">
        <f t="shared" si="140"/>
        <v>-</v>
      </c>
      <c r="AA39" s="52" t="str">
        <f t="shared" si="141"/>
        <v>-</v>
      </c>
      <c r="AB39" s="52" t="str">
        <f t="shared" si="142"/>
        <v>-</v>
      </c>
      <c r="AC39" s="52">
        <f t="shared" si="143"/>
        <v>16.75</v>
      </c>
      <c r="AD39" s="52" t="str">
        <f t="shared" si="144"/>
        <v>-</v>
      </c>
      <c r="AE39" s="52" t="str">
        <f t="shared" si="145"/>
        <v>-</v>
      </c>
      <c r="AF39" s="52" t="str">
        <f t="shared" si="146"/>
        <v>-</v>
      </c>
      <c r="AG39" s="52" t="str">
        <f t="shared" si="147"/>
        <v>-</v>
      </c>
      <c r="AH39" s="52" t="str">
        <f t="shared" si="148"/>
        <v>-</v>
      </c>
      <c r="AI39" s="52" t="str">
        <f t="shared" si="149"/>
        <v>-</v>
      </c>
      <c r="AJ39" s="52" t="str">
        <f t="shared" si="150"/>
        <v>-</v>
      </c>
      <c r="AK39" s="52" t="str">
        <f t="shared" si="151"/>
        <v>-</v>
      </c>
      <c r="AL39" s="52" t="str">
        <f t="shared" si="152"/>
        <v>-</v>
      </c>
      <c r="AM39" s="53" t="str">
        <f t="shared" si="153"/>
        <v>-</v>
      </c>
      <c r="AN39" s="51" t="str">
        <f t="shared" si="154"/>
        <v>-</v>
      </c>
      <c r="AO39" s="52" t="str">
        <f t="shared" si="155"/>
        <v>-</v>
      </c>
      <c r="AP39" s="52" t="str">
        <f t="shared" si="156"/>
        <v>-</v>
      </c>
      <c r="AQ39" s="52" t="str">
        <f t="shared" si="157"/>
        <v>-</v>
      </c>
      <c r="AR39" s="52" t="str">
        <f t="shared" si="158"/>
        <v>-</v>
      </c>
      <c r="AS39" s="52" t="str">
        <f t="shared" si="159"/>
        <v>-</v>
      </c>
      <c r="AT39" s="52" t="str">
        <f t="shared" si="160"/>
        <v>-</v>
      </c>
      <c r="AU39" s="52" t="str">
        <f t="shared" si="161"/>
        <v>-</v>
      </c>
      <c r="AV39" s="52" t="str">
        <f t="shared" si="162"/>
        <v>-</v>
      </c>
      <c r="AW39" s="52" t="str">
        <f t="shared" si="163"/>
        <v>-</v>
      </c>
      <c r="AX39" s="52" t="str">
        <f t="shared" si="164"/>
        <v>-</v>
      </c>
      <c r="AY39" s="52" t="str">
        <f t="shared" si="165"/>
        <v>-</v>
      </c>
      <c r="AZ39" s="52" t="str">
        <f t="shared" si="166"/>
        <v>-</v>
      </c>
      <c r="BA39" s="52" t="str">
        <f t="shared" si="167"/>
        <v>-</v>
      </c>
      <c r="BB39" s="52" t="str">
        <f t="shared" si="168"/>
        <v>-</v>
      </c>
      <c r="BC39" s="52" t="str">
        <f t="shared" si="169"/>
        <v>-</v>
      </c>
      <c r="BD39" s="52" t="str">
        <f t="shared" si="170"/>
        <v>-</v>
      </c>
      <c r="BE39" s="53" t="str">
        <f t="shared" si="171"/>
        <v>-</v>
      </c>
      <c r="BF39" s="51" t="str">
        <f t="shared" si="172"/>
        <v>-</v>
      </c>
      <c r="BG39" s="52" t="str">
        <f t="shared" si="173"/>
        <v>-</v>
      </c>
      <c r="BH39" s="52" t="str">
        <f t="shared" si="174"/>
        <v>-</v>
      </c>
      <c r="BI39" s="52" t="str">
        <f t="shared" si="175"/>
        <v>-</v>
      </c>
      <c r="BJ39" s="52" t="str">
        <f t="shared" si="176"/>
        <v>-</v>
      </c>
      <c r="BK39" s="52" t="str">
        <f t="shared" si="177"/>
        <v>-</v>
      </c>
      <c r="BL39" s="52" t="str">
        <f t="shared" si="178"/>
        <v>-</v>
      </c>
      <c r="BM39" s="52" t="str">
        <f t="shared" si="179"/>
        <v>-</v>
      </c>
      <c r="BN39" s="52" t="str">
        <f t="shared" si="180"/>
        <v>-</v>
      </c>
      <c r="BO39" s="52" t="str">
        <f t="shared" si="181"/>
        <v>-</v>
      </c>
      <c r="BP39" s="52" t="str">
        <f t="shared" si="182"/>
        <v>-</v>
      </c>
      <c r="BQ39" s="52" t="str">
        <f t="shared" si="183"/>
        <v>-</v>
      </c>
      <c r="BR39" s="52" t="str">
        <f t="shared" si="184"/>
        <v>-</v>
      </c>
      <c r="BS39" s="52" t="str">
        <f t="shared" si="185"/>
        <v>-</v>
      </c>
      <c r="BT39" s="52" t="str">
        <f t="shared" si="186"/>
        <v>-</v>
      </c>
      <c r="BU39" s="52" t="str">
        <f t="shared" si="187"/>
        <v>-</v>
      </c>
      <c r="BV39" s="52" t="str">
        <f t="shared" si="188"/>
        <v>-</v>
      </c>
      <c r="BW39" s="53" t="str">
        <f t="shared" si="189"/>
        <v>-</v>
      </c>
      <c r="BX39" s="51" t="str">
        <f t="shared" si="190"/>
        <v>-</v>
      </c>
      <c r="BY39" s="52" t="str">
        <f t="shared" si="191"/>
        <v>-</v>
      </c>
      <c r="BZ39" s="52" t="str">
        <f t="shared" si="192"/>
        <v>-</v>
      </c>
      <c r="CA39" s="52" t="str">
        <f t="shared" si="193"/>
        <v>-</v>
      </c>
      <c r="CB39" s="52" t="str">
        <f t="shared" si="194"/>
        <v>-</v>
      </c>
      <c r="CC39" s="52" t="str">
        <f t="shared" si="195"/>
        <v>-</v>
      </c>
      <c r="CD39" s="52" t="str">
        <f t="shared" si="196"/>
        <v>-</v>
      </c>
      <c r="CE39" s="52" t="str">
        <f t="shared" si="197"/>
        <v>-</v>
      </c>
      <c r="CF39" s="52" t="str">
        <f t="shared" si="198"/>
        <v>-</v>
      </c>
      <c r="CG39" s="52" t="str">
        <f t="shared" si="199"/>
        <v>-</v>
      </c>
      <c r="CH39" s="52" t="str">
        <f t="shared" si="200"/>
        <v>-</v>
      </c>
      <c r="CI39" s="52" t="str">
        <f t="shared" si="201"/>
        <v>-</v>
      </c>
      <c r="CJ39" s="52" t="str">
        <f t="shared" si="202"/>
        <v>-</v>
      </c>
      <c r="CK39" s="52" t="str">
        <f t="shared" si="203"/>
        <v>-</v>
      </c>
      <c r="CL39" s="52" t="str">
        <f t="shared" si="204"/>
        <v>-</v>
      </c>
      <c r="CM39" s="52" t="str">
        <f t="shared" si="205"/>
        <v>-</v>
      </c>
      <c r="CN39" s="52" t="str">
        <f t="shared" si="206"/>
        <v>-</v>
      </c>
      <c r="CO39" s="53" t="str">
        <f t="shared" si="207"/>
        <v>-</v>
      </c>
      <c r="CQ39" s="305" t="str">
        <f t="shared" si="126"/>
        <v>-</v>
      </c>
      <c r="CR39" s="305">
        <f t="shared" si="127"/>
        <v>18.350000000000001</v>
      </c>
      <c r="CS39" s="305" t="str">
        <f t="shared" si="128"/>
        <v>-</v>
      </c>
      <c r="CT39" s="305" t="str">
        <f t="shared" si="129"/>
        <v>-</v>
      </c>
      <c r="CU39" s="305" t="str">
        <f t="shared" si="130"/>
        <v>-</v>
      </c>
      <c r="CV39" s="305" t="str">
        <f t="shared" si="131"/>
        <v>-</v>
      </c>
      <c r="CX39" s="51" t="str">
        <f t="shared" si="208"/>
        <v>-</v>
      </c>
      <c r="CY39" s="52">
        <f t="shared" si="209"/>
        <v>17.149999999999999</v>
      </c>
      <c r="CZ39" s="53" t="str">
        <f t="shared" si="210"/>
        <v>-</v>
      </c>
      <c r="DA39" s="51" t="str">
        <f t="shared" si="211"/>
        <v>-</v>
      </c>
      <c r="DB39" s="52" t="str">
        <f t="shared" si="212"/>
        <v>-</v>
      </c>
      <c r="DC39" s="53" t="str">
        <f t="shared" si="213"/>
        <v>-</v>
      </c>
      <c r="DD39" s="57"/>
      <c r="DE39" s="106" t="str">
        <f t="shared" si="214"/>
        <v>-</v>
      </c>
      <c r="DF39" s="107" t="str">
        <f t="shared" si="215"/>
        <v>-</v>
      </c>
      <c r="DG39" s="107" t="str">
        <f t="shared" si="216"/>
        <v>-</v>
      </c>
      <c r="DH39" s="107" t="str">
        <f t="shared" si="217"/>
        <v>-</v>
      </c>
      <c r="DI39" s="107" t="str">
        <f t="shared" si="218"/>
        <v>-</v>
      </c>
      <c r="DJ39" s="107" t="str">
        <f t="shared" si="219"/>
        <v>-</v>
      </c>
      <c r="DK39" s="107" t="str">
        <f t="shared" si="220"/>
        <v>-</v>
      </c>
      <c r="DL39" s="107" t="str">
        <f t="shared" si="221"/>
        <v>-</v>
      </c>
      <c r="DM39" s="108" t="str">
        <f t="shared" si="222"/>
        <v>-</v>
      </c>
      <c r="DO39" s="106" t="str">
        <f t="shared" si="223"/>
        <v>-</v>
      </c>
      <c r="DP39" s="107" t="str">
        <f t="shared" si="224"/>
        <v>-</v>
      </c>
      <c r="DQ39" s="107" t="str">
        <f t="shared" si="225"/>
        <v>-</v>
      </c>
      <c r="DR39" s="107" t="str">
        <f t="shared" si="226"/>
        <v>-</v>
      </c>
      <c r="DS39" s="107" t="str">
        <f t="shared" si="227"/>
        <v>-</v>
      </c>
      <c r="DT39" s="107" t="str">
        <f t="shared" si="228"/>
        <v>-</v>
      </c>
      <c r="DU39" s="107" t="str">
        <f t="shared" si="229"/>
        <v>-</v>
      </c>
      <c r="DV39" s="107" t="str">
        <f t="shared" si="230"/>
        <v>-</v>
      </c>
      <c r="DW39" s="108" t="str">
        <f t="shared" si="231"/>
        <v>-</v>
      </c>
      <c r="DX39" s="109" t="str">
        <f t="shared" si="232"/>
        <v>-</v>
      </c>
      <c r="DY39" s="110" t="str">
        <f t="shared" si="233"/>
        <v>-</v>
      </c>
      <c r="DZ39" s="110" t="str">
        <f t="shared" si="234"/>
        <v>-</v>
      </c>
      <c r="EA39" s="110">
        <f t="shared" si="235"/>
        <v>18.350000000000001</v>
      </c>
      <c r="EB39" s="110" t="str">
        <f t="shared" si="236"/>
        <v>-</v>
      </c>
      <c r="EC39" s="110" t="str">
        <f t="shared" si="237"/>
        <v>-</v>
      </c>
      <c r="ED39" s="110" t="str">
        <f t="shared" si="238"/>
        <v>-</v>
      </c>
      <c r="EE39" s="110" t="str">
        <f t="shared" si="239"/>
        <v>-</v>
      </c>
      <c r="EF39" s="111" t="str">
        <f t="shared" si="240"/>
        <v>-</v>
      </c>
      <c r="EG39" s="109" t="str">
        <f t="shared" si="241"/>
        <v>-</v>
      </c>
      <c r="EH39" s="110" t="str">
        <f t="shared" si="242"/>
        <v>-</v>
      </c>
      <c r="EI39" s="110" t="str">
        <f t="shared" si="243"/>
        <v>-</v>
      </c>
      <c r="EJ39" s="110" t="str">
        <f t="shared" si="244"/>
        <v>-</v>
      </c>
      <c r="EK39" s="110" t="str">
        <f t="shared" si="245"/>
        <v>-</v>
      </c>
      <c r="EL39" s="110" t="str">
        <f t="shared" si="246"/>
        <v>-</v>
      </c>
      <c r="EM39" s="110" t="str">
        <f t="shared" si="247"/>
        <v>-</v>
      </c>
      <c r="EN39" s="110" t="str">
        <f t="shared" si="248"/>
        <v>-</v>
      </c>
      <c r="EO39" s="111" t="str">
        <f t="shared" si="249"/>
        <v>-</v>
      </c>
      <c r="EQ39" s="118">
        <f t="shared" si="250"/>
        <v>17.149999999999999</v>
      </c>
      <c r="ER39" s="119" t="str">
        <f t="shared" si="251"/>
        <v>-</v>
      </c>
      <c r="ES39" s="120" t="str">
        <f t="shared" si="252"/>
        <v>-</v>
      </c>
      <c r="ET39" s="90">
        <v>2</v>
      </c>
      <c r="EU39" s="118">
        <f t="shared" si="253"/>
        <v>2</v>
      </c>
      <c r="EV39" s="119" t="str">
        <f t="shared" si="254"/>
        <v>-</v>
      </c>
      <c r="EW39" s="120" t="str">
        <f t="shared" si="255"/>
        <v>-</v>
      </c>
    </row>
    <row r="40" spans="1:153" ht="15.75" thickBot="1" x14ac:dyDescent="0.3">
      <c r="A40" s="41"/>
      <c r="B40" s="171" t="s">
        <v>477</v>
      </c>
      <c r="C40" s="171" t="s">
        <v>478</v>
      </c>
      <c r="D40" s="42">
        <f>VLOOKUP(B40,'BASE DE DATOS'!$B$3:$E$106,2,FALSE)</f>
        <v>34.72</v>
      </c>
      <c r="E40" s="42">
        <f>VLOOKUP(B40,'BASE DE DATOS'!$B$3:$E$106,4,FALSE)</f>
        <v>1.6299999999999955</v>
      </c>
      <c r="F40" s="42">
        <f>VLOOKUP(C40,'BASE DE DATOS'!$B$3:$E$106,2,FALSE)</f>
        <v>34.590000000000003</v>
      </c>
      <c r="G40" s="42">
        <f>VLOOKUP(C40,'BASE DE DATOS'!$B$3:$E$106,4,FALSE)</f>
        <v>1.740000000000002</v>
      </c>
      <c r="H40" s="43">
        <f t="shared" si="135"/>
        <v>1.6849999999999987</v>
      </c>
      <c r="I40" s="171">
        <v>48.31</v>
      </c>
      <c r="J40" s="44">
        <f t="shared" si="132"/>
        <v>48.31</v>
      </c>
      <c r="K40" s="40">
        <f t="shared" si="133"/>
        <v>46.71</v>
      </c>
      <c r="L40" s="40">
        <f t="shared" si="134"/>
        <v>47.11</v>
      </c>
      <c r="M40" s="44">
        <f t="shared" si="124"/>
        <v>200</v>
      </c>
      <c r="N40" s="40">
        <f t="shared" si="125"/>
        <v>48.31</v>
      </c>
      <c r="O40" s="171" t="s">
        <v>120</v>
      </c>
      <c r="P40" s="19">
        <v>187.6</v>
      </c>
      <c r="Q40" s="171" t="s">
        <v>123</v>
      </c>
      <c r="R40" s="171" t="s">
        <v>133</v>
      </c>
      <c r="S40" s="171" t="s">
        <v>389</v>
      </c>
      <c r="T40" s="171" t="s">
        <v>149</v>
      </c>
      <c r="V40" s="51" t="str">
        <f t="shared" si="136"/>
        <v>-</v>
      </c>
      <c r="W40" s="52" t="str">
        <f t="shared" si="137"/>
        <v>-</v>
      </c>
      <c r="X40" s="52" t="str">
        <f t="shared" si="138"/>
        <v>-</v>
      </c>
      <c r="Y40" s="52" t="str">
        <f t="shared" si="139"/>
        <v>-</v>
      </c>
      <c r="Z40" s="52" t="str">
        <f t="shared" si="140"/>
        <v>-</v>
      </c>
      <c r="AA40" s="52" t="str">
        <f t="shared" si="141"/>
        <v>-</v>
      </c>
      <c r="AB40" s="52" t="str">
        <f t="shared" si="142"/>
        <v>-</v>
      </c>
      <c r="AC40" s="52" t="str">
        <f t="shared" si="143"/>
        <v>-</v>
      </c>
      <c r="AD40" s="52" t="str">
        <f t="shared" si="144"/>
        <v>-</v>
      </c>
      <c r="AE40" s="52" t="str">
        <f t="shared" si="145"/>
        <v>-</v>
      </c>
      <c r="AF40" s="52" t="str">
        <f t="shared" si="146"/>
        <v>-</v>
      </c>
      <c r="AG40" s="52" t="str">
        <f t="shared" si="147"/>
        <v>-</v>
      </c>
      <c r="AH40" s="52" t="str">
        <f t="shared" si="148"/>
        <v>-</v>
      </c>
      <c r="AI40" s="52" t="str">
        <f t="shared" si="149"/>
        <v>-</v>
      </c>
      <c r="AJ40" s="52" t="str">
        <f t="shared" si="150"/>
        <v>-</v>
      </c>
      <c r="AK40" s="52" t="str">
        <f t="shared" si="151"/>
        <v>-</v>
      </c>
      <c r="AL40" s="52" t="str">
        <f t="shared" si="152"/>
        <v>-</v>
      </c>
      <c r="AM40" s="53" t="str">
        <f t="shared" si="153"/>
        <v>-</v>
      </c>
      <c r="AN40" s="51" t="str">
        <f t="shared" si="154"/>
        <v>-</v>
      </c>
      <c r="AO40" s="52" t="str">
        <f t="shared" si="155"/>
        <v>-</v>
      </c>
      <c r="AP40" s="52" t="str">
        <f t="shared" si="156"/>
        <v>-</v>
      </c>
      <c r="AQ40" s="52" t="str">
        <f t="shared" si="157"/>
        <v>-</v>
      </c>
      <c r="AR40" s="52" t="str">
        <f t="shared" si="158"/>
        <v>-</v>
      </c>
      <c r="AS40" s="52" t="str">
        <f t="shared" si="159"/>
        <v>-</v>
      </c>
      <c r="AT40" s="52" t="str">
        <f t="shared" si="160"/>
        <v>-</v>
      </c>
      <c r="AU40" s="52" t="str">
        <f t="shared" si="161"/>
        <v>-</v>
      </c>
      <c r="AV40" s="52" t="str">
        <f t="shared" si="162"/>
        <v>-</v>
      </c>
      <c r="AW40" s="52" t="str">
        <f t="shared" si="163"/>
        <v>-</v>
      </c>
      <c r="AX40" s="52" t="str">
        <f t="shared" si="164"/>
        <v>-</v>
      </c>
      <c r="AY40" s="52" t="str">
        <f t="shared" si="165"/>
        <v>-</v>
      </c>
      <c r="AZ40" s="52" t="str">
        <f t="shared" si="166"/>
        <v>-</v>
      </c>
      <c r="BA40" s="52" t="str">
        <f t="shared" si="167"/>
        <v>-</v>
      </c>
      <c r="BB40" s="52" t="str">
        <f t="shared" si="168"/>
        <v>-</v>
      </c>
      <c r="BC40" s="52" t="str">
        <f t="shared" si="169"/>
        <v>-</v>
      </c>
      <c r="BD40" s="52" t="str">
        <f t="shared" si="170"/>
        <v>-</v>
      </c>
      <c r="BE40" s="53" t="str">
        <f t="shared" si="171"/>
        <v>-</v>
      </c>
      <c r="BF40" s="51" t="str">
        <f t="shared" si="172"/>
        <v>-</v>
      </c>
      <c r="BG40" s="52" t="str">
        <f t="shared" si="173"/>
        <v>-</v>
      </c>
      <c r="BH40" s="52" t="str">
        <f t="shared" si="174"/>
        <v>-</v>
      </c>
      <c r="BI40" s="52" t="str">
        <f t="shared" si="175"/>
        <v>-</v>
      </c>
      <c r="BJ40" s="52" t="str">
        <f t="shared" si="176"/>
        <v>-</v>
      </c>
      <c r="BK40" s="52">
        <f t="shared" si="177"/>
        <v>46.71</v>
      </c>
      <c r="BL40" s="52" t="str">
        <f t="shared" si="178"/>
        <v>-</v>
      </c>
      <c r="BM40" s="52" t="str">
        <f t="shared" si="179"/>
        <v>-</v>
      </c>
      <c r="BN40" s="52" t="str">
        <f t="shared" si="180"/>
        <v>-</v>
      </c>
      <c r="BO40" s="52" t="str">
        <f t="shared" si="181"/>
        <v>-</v>
      </c>
      <c r="BP40" s="52" t="str">
        <f t="shared" si="182"/>
        <v>-</v>
      </c>
      <c r="BQ40" s="52" t="str">
        <f t="shared" si="183"/>
        <v>-</v>
      </c>
      <c r="BR40" s="52" t="str">
        <f t="shared" si="184"/>
        <v>-</v>
      </c>
      <c r="BS40" s="52" t="str">
        <f t="shared" si="185"/>
        <v>-</v>
      </c>
      <c r="BT40" s="52" t="str">
        <f t="shared" si="186"/>
        <v>-</v>
      </c>
      <c r="BU40" s="52" t="str">
        <f t="shared" si="187"/>
        <v>-</v>
      </c>
      <c r="BV40" s="52" t="str">
        <f t="shared" si="188"/>
        <v>-</v>
      </c>
      <c r="BW40" s="53" t="str">
        <f t="shared" si="189"/>
        <v>-</v>
      </c>
      <c r="BX40" s="51" t="str">
        <f t="shared" si="190"/>
        <v>-</v>
      </c>
      <c r="BY40" s="52" t="str">
        <f t="shared" si="191"/>
        <v>-</v>
      </c>
      <c r="BZ40" s="52" t="str">
        <f t="shared" si="192"/>
        <v>-</v>
      </c>
      <c r="CA40" s="52" t="str">
        <f t="shared" si="193"/>
        <v>-</v>
      </c>
      <c r="CB40" s="52" t="str">
        <f t="shared" si="194"/>
        <v>-</v>
      </c>
      <c r="CC40" s="52" t="str">
        <f t="shared" si="195"/>
        <v>-</v>
      </c>
      <c r="CD40" s="52" t="str">
        <f t="shared" si="196"/>
        <v>-</v>
      </c>
      <c r="CE40" s="52" t="str">
        <f t="shared" si="197"/>
        <v>-</v>
      </c>
      <c r="CF40" s="52" t="str">
        <f t="shared" si="198"/>
        <v>-</v>
      </c>
      <c r="CG40" s="52" t="str">
        <f t="shared" si="199"/>
        <v>-</v>
      </c>
      <c r="CH40" s="52" t="str">
        <f t="shared" si="200"/>
        <v>-</v>
      </c>
      <c r="CI40" s="52" t="str">
        <f t="shared" si="201"/>
        <v>-</v>
      </c>
      <c r="CJ40" s="52" t="str">
        <f t="shared" si="202"/>
        <v>-</v>
      </c>
      <c r="CK40" s="52" t="str">
        <f t="shared" si="203"/>
        <v>-</v>
      </c>
      <c r="CL40" s="52" t="str">
        <f t="shared" si="204"/>
        <v>-</v>
      </c>
      <c r="CM40" s="52" t="str">
        <f t="shared" si="205"/>
        <v>-</v>
      </c>
      <c r="CN40" s="52" t="str">
        <f t="shared" si="206"/>
        <v>-</v>
      </c>
      <c r="CO40" s="53" t="str">
        <f t="shared" si="207"/>
        <v>-</v>
      </c>
      <c r="CQ40" s="305" t="str">
        <f t="shared" si="126"/>
        <v>-</v>
      </c>
      <c r="CR40" s="305" t="str">
        <f t="shared" si="127"/>
        <v>-</v>
      </c>
      <c r="CS40" s="305" t="str">
        <f t="shared" si="128"/>
        <v>-</v>
      </c>
      <c r="CT40" s="305" t="str">
        <f t="shared" si="129"/>
        <v>-</v>
      </c>
      <c r="CU40" s="305">
        <f t="shared" si="130"/>
        <v>48.31</v>
      </c>
      <c r="CV40" s="305" t="str">
        <f t="shared" si="131"/>
        <v>-</v>
      </c>
      <c r="CX40" s="51" t="str">
        <f t="shared" si="208"/>
        <v>-</v>
      </c>
      <c r="CY40" s="52">
        <f t="shared" si="209"/>
        <v>47.11</v>
      </c>
      <c r="CZ40" s="53" t="str">
        <f t="shared" si="210"/>
        <v>-</v>
      </c>
      <c r="DA40" s="51" t="str">
        <f t="shared" si="211"/>
        <v>-</v>
      </c>
      <c r="DB40" s="52" t="str">
        <f t="shared" si="212"/>
        <v>-</v>
      </c>
      <c r="DC40" s="53" t="str">
        <f t="shared" si="213"/>
        <v>-</v>
      </c>
      <c r="DD40" s="57"/>
      <c r="DE40" s="106" t="str">
        <f t="shared" si="214"/>
        <v>-</v>
      </c>
      <c r="DF40" s="107" t="str">
        <f t="shared" si="215"/>
        <v>-</v>
      </c>
      <c r="DG40" s="107" t="str">
        <f t="shared" si="216"/>
        <v>-</v>
      </c>
      <c r="DH40" s="107" t="str">
        <f t="shared" si="217"/>
        <v>-</v>
      </c>
      <c r="DI40" s="107" t="str">
        <f t="shared" si="218"/>
        <v>-</v>
      </c>
      <c r="DJ40" s="107" t="str">
        <f t="shared" si="219"/>
        <v>-</v>
      </c>
      <c r="DK40" s="107" t="str">
        <f t="shared" si="220"/>
        <v>-</v>
      </c>
      <c r="DL40" s="107" t="str">
        <f t="shared" si="221"/>
        <v>-</v>
      </c>
      <c r="DM40" s="108" t="str">
        <f t="shared" si="222"/>
        <v>-</v>
      </c>
      <c r="DO40" s="106" t="str">
        <f t="shared" si="223"/>
        <v>-</v>
      </c>
      <c r="DP40" s="107" t="str">
        <f t="shared" si="224"/>
        <v>-</v>
      </c>
      <c r="DQ40" s="107" t="str">
        <f t="shared" si="225"/>
        <v>-</v>
      </c>
      <c r="DR40" s="107" t="str">
        <f t="shared" si="226"/>
        <v>-</v>
      </c>
      <c r="DS40" s="107" t="str">
        <f t="shared" si="227"/>
        <v>-</v>
      </c>
      <c r="DT40" s="107" t="str">
        <f t="shared" si="228"/>
        <v>-</v>
      </c>
      <c r="DU40" s="107" t="str">
        <f t="shared" si="229"/>
        <v>-</v>
      </c>
      <c r="DV40" s="107" t="str">
        <f t="shared" si="230"/>
        <v>-</v>
      </c>
      <c r="DW40" s="108" t="str">
        <f t="shared" si="231"/>
        <v>-</v>
      </c>
      <c r="DX40" s="109" t="str">
        <f t="shared" si="232"/>
        <v>-</v>
      </c>
      <c r="DY40" s="110" t="str">
        <f t="shared" si="233"/>
        <v>-</v>
      </c>
      <c r="DZ40" s="110" t="str">
        <f t="shared" si="234"/>
        <v>-</v>
      </c>
      <c r="EA40" s="110">
        <f t="shared" si="235"/>
        <v>48.31</v>
      </c>
      <c r="EB40" s="110" t="str">
        <f t="shared" si="236"/>
        <v>-</v>
      </c>
      <c r="EC40" s="110" t="str">
        <f t="shared" si="237"/>
        <v>-</v>
      </c>
      <c r="ED40" s="110" t="str">
        <f t="shared" si="238"/>
        <v>-</v>
      </c>
      <c r="EE40" s="110" t="str">
        <f t="shared" si="239"/>
        <v>-</v>
      </c>
      <c r="EF40" s="111" t="str">
        <f t="shared" si="240"/>
        <v>-</v>
      </c>
      <c r="EG40" s="109" t="str">
        <f t="shared" si="241"/>
        <v>-</v>
      </c>
      <c r="EH40" s="110" t="str">
        <f t="shared" si="242"/>
        <v>-</v>
      </c>
      <c r="EI40" s="110" t="str">
        <f t="shared" si="243"/>
        <v>-</v>
      </c>
      <c r="EJ40" s="110" t="str">
        <f t="shared" si="244"/>
        <v>-</v>
      </c>
      <c r="EK40" s="110" t="str">
        <f t="shared" si="245"/>
        <v>-</v>
      </c>
      <c r="EL40" s="110" t="str">
        <f t="shared" si="246"/>
        <v>-</v>
      </c>
      <c r="EM40" s="110" t="str">
        <f t="shared" si="247"/>
        <v>-</v>
      </c>
      <c r="EN40" s="110" t="str">
        <f t="shared" si="248"/>
        <v>-</v>
      </c>
      <c r="EO40" s="111" t="str">
        <f t="shared" si="249"/>
        <v>-</v>
      </c>
      <c r="EQ40" s="118">
        <f t="shared" si="250"/>
        <v>47.11</v>
      </c>
      <c r="ER40" s="119" t="str">
        <f t="shared" si="251"/>
        <v>-</v>
      </c>
      <c r="ES40" s="120" t="str">
        <f t="shared" si="252"/>
        <v>-</v>
      </c>
      <c r="ET40" s="90">
        <v>2</v>
      </c>
      <c r="EU40" s="118">
        <f t="shared" si="253"/>
        <v>2</v>
      </c>
      <c r="EV40" s="119" t="str">
        <f t="shared" si="254"/>
        <v>-</v>
      </c>
      <c r="EW40" s="120" t="str">
        <f t="shared" si="255"/>
        <v>-</v>
      </c>
    </row>
    <row r="41" spans="1:153" ht="15.75" thickBot="1" x14ac:dyDescent="0.3">
      <c r="A41" s="41"/>
      <c r="B41" s="171" t="s">
        <v>478</v>
      </c>
      <c r="C41" s="171" t="s">
        <v>476</v>
      </c>
      <c r="D41" s="42">
        <f>VLOOKUP(B41,'BASE DE DATOS'!$B$3:$E$106,2,FALSE)</f>
        <v>34.590000000000003</v>
      </c>
      <c r="E41" s="42">
        <f>VLOOKUP(B41,'BASE DE DATOS'!$B$3:$E$106,4,FALSE)</f>
        <v>1.740000000000002</v>
      </c>
      <c r="F41" s="42">
        <f>VLOOKUP(C41,'BASE DE DATOS'!$B$3:$E$106,2,FALSE)</f>
        <v>34.76</v>
      </c>
      <c r="G41" s="42">
        <f>VLOOKUP(C41,'BASE DE DATOS'!$B$3:$E$106,4,FALSE)</f>
        <v>2.009999999999998</v>
      </c>
      <c r="H41" s="43">
        <f t="shared" si="135"/>
        <v>1.875</v>
      </c>
      <c r="I41" s="171">
        <v>35.69</v>
      </c>
      <c r="J41" s="44">
        <f t="shared" si="132"/>
        <v>35.69</v>
      </c>
      <c r="K41" s="40">
        <f t="shared" si="133"/>
        <v>34.090000000000003</v>
      </c>
      <c r="L41" s="40">
        <f t="shared" si="134"/>
        <v>34.49</v>
      </c>
      <c r="M41" s="44">
        <f t="shared" si="124"/>
        <v>200</v>
      </c>
      <c r="N41" s="40">
        <f t="shared" si="125"/>
        <v>35.69</v>
      </c>
      <c r="O41" s="171" t="s">
        <v>120</v>
      </c>
      <c r="P41" s="19">
        <v>187.6</v>
      </c>
      <c r="Q41" s="171" t="s">
        <v>123</v>
      </c>
      <c r="R41" s="171" t="s">
        <v>133</v>
      </c>
      <c r="S41" s="171" t="s">
        <v>147</v>
      </c>
      <c r="T41" s="171" t="s">
        <v>146</v>
      </c>
      <c r="V41" s="51" t="str">
        <f t="shared" si="136"/>
        <v>-</v>
      </c>
      <c r="W41" s="52" t="str">
        <f t="shared" si="137"/>
        <v>-</v>
      </c>
      <c r="X41" s="52" t="str">
        <f t="shared" si="138"/>
        <v>-</v>
      </c>
      <c r="Y41" s="52" t="str">
        <f t="shared" si="139"/>
        <v>-</v>
      </c>
      <c r="Z41" s="52" t="str">
        <f t="shared" si="140"/>
        <v>-</v>
      </c>
      <c r="AA41" s="52" t="str">
        <f t="shared" si="141"/>
        <v>-</v>
      </c>
      <c r="AB41" s="52" t="str">
        <f t="shared" si="142"/>
        <v>-</v>
      </c>
      <c r="AC41" s="52">
        <f t="shared" si="143"/>
        <v>34.090000000000003</v>
      </c>
      <c r="AD41" s="52" t="str">
        <f t="shared" si="144"/>
        <v>-</v>
      </c>
      <c r="AE41" s="52" t="str">
        <f t="shared" si="145"/>
        <v>-</v>
      </c>
      <c r="AF41" s="52" t="str">
        <f t="shared" si="146"/>
        <v>-</v>
      </c>
      <c r="AG41" s="52" t="str">
        <f t="shared" si="147"/>
        <v>-</v>
      </c>
      <c r="AH41" s="52" t="str">
        <f t="shared" si="148"/>
        <v>-</v>
      </c>
      <c r="AI41" s="52" t="str">
        <f t="shared" si="149"/>
        <v>-</v>
      </c>
      <c r="AJ41" s="52" t="str">
        <f t="shared" si="150"/>
        <v>-</v>
      </c>
      <c r="AK41" s="52" t="str">
        <f t="shared" si="151"/>
        <v>-</v>
      </c>
      <c r="AL41" s="52" t="str">
        <f t="shared" si="152"/>
        <v>-</v>
      </c>
      <c r="AM41" s="53" t="str">
        <f t="shared" si="153"/>
        <v>-</v>
      </c>
      <c r="AN41" s="51" t="str">
        <f t="shared" si="154"/>
        <v>-</v>
      </c>
      <c r="AO41" s="52" t="str">
        <f t="shared" si="155"/>
        <v>-</v>
      </c>
      <c r="AP41" s="52" t="str">
        <f t="shared" si="156"/>
        <v>-</v>
      </c>
      <c r="AQ41" s="52" t="str">
        <f t="shared" si="157"/>
        <v>-</v>
      </c>
      <c r="AR41" s="52" t="str">
        <f t="shared" si="158"/>
        <v>-</v>
      </c>
      <c r="AS41" s="52" t="str">
        <f t="shared" si="159"/>
        <v>-</v>
      </c>
      <c r="AT41" s="52" t="str">
        <f t="shared" si="160"/>
        <v>-</v>
      </c>
      <c r="AU41" s="52" t="str">
        <f t="shared" si="161"/>
        <v>-</v>
      </c>
      <c r="AV41" s="52" t="str">
        <f t="shared" si="162"/>
        <v>-</v>
      </c>
      <c r="AW41" s="52" t="str">
        <f t="shared" si="163"/>
        <v>-</v>
      </c>
      <c r="AX41" s="52" t="str">
        <f t="shared" si="164"/>
        <v>-</v>
      </c>
      <c r="AY41" s="52" t="str">
        <f t="shared" si="165"/>
        <v>-</v>
      </c>
      <c r="AZ41" s="52" t="str">
        <f t="shared" si="166"/>
        <v>-</v>
      </c>
      <c r="BA41" s="52" t="str">
        <f t="shared" si="167"/>
        <v>-</v>
      </c>
      <c r="BB41" s="52" t="str">
        <f t="shared" si="168"/>
        <v>-</v>
      </c>
      <c r="BC41" s="52" t="str">
        <f t="shared" si="169"/>
        <v>-</v>
      </c>
      <c r="BD41" s="52" t="str">
        <f t="shared" si="170"/>
        <v>-</v>
      </c>
      <c r="BE41" s="53" t="str">
        <f t="shared" si="171"/>
        <v>-</v>
      </c>
      <c r="BF41" s="51" t="str">
        <f t="shared" si="172"/>
        <v>-</v>
      </c>
      <c r="BG41" s="52" t="str">
        <f t="shared" si="173"/>
        <v>-</v>
      </c>
      <c r="BH41" s="52" t="str">
        <f t="shared" si="174"/>
        <v>-</v>
      </c>
      <c r="BI41" s="52" t="str">
        <f t="shared" si="175"/>
        <v>-</v>
      </c>
      <c r="BJ41" s="52" t="str">
        <f t="shared" si="176"/>
        <v>-</v>
      </c>
      <c r="BK41" s="52" t="str">
        <f t="shared" si="177"/>
        <v>-</v>
      </c>
      <c r="BL41" s="52" t="str">
        <f t="shared" si="178"/>
        <v>-</v>
      </c>
      <c r="BM41" s="52" t="str">
        <f t="shared" si="179"/>
        <v>-</v>
      </c>
      <c r="BN41" s="52" t="str">
        <f t="shared" si="180"/>
        <v>-</v>
      </c>
      <c r="BO41" s="52" t="str">
        <f t="shared" si="181"/>
        <v>-</v>
      </c>
      <c r="BP41" s="52" t="str">
        <f t="shared" si="182"/>
        <v>-</v>
      </c>
      <c r="BQ41" s="52" t="str">
        <f t="shared" si="183"/>
        <v>-</v>
      </c>
      <c r="BR41" s="52" t="str">
        <f t="shared" si="184"/>
        <v>-</v>
      </c>
      <c r="BS41" s="52" t="str">
        <f t="shared" si="185"/>
        <v>-</v>
      </c>
      <c r="BT41" s="52" t="str">
        <f t="shared" si="186"/>
        <v>-</v>
      </c>
      <c r="BU41" s="52" t="str">
        <f t="shared" si="187"/>
        <v>-</v>
      </c>
      <c r="BV41" s="52" t="str">
        <f t="shared" si="188"/>
        <v>-</v>
      </c>
      <c r="BW41" s="53" t="str">
        <f t="shared" si="189"/>
        <v>-</v>
      </c>
      <c r="BX41" s="51" t="str">
        <f t="shared" si="190"/>
        <v>-</v>
      </c>
      <c r="BY41" s="52" t="str">
        <f t="shared" si="191"/>
        <v>-</v>
      </c>
      <c r="BZ41" s="52" t="str">
        <f t="shared" si="192"/>
        <v>-</v>
      </c>
      <c r="CA41" s="52" t="str">
        <f t="shared" si="193"/>
        <v>-</v>
      </c>
      <c r="CB41" s="52" t="str">
        <f t="shared" si="194"/>
        <v>-</v>
      </c>
      <c r="CC41" s="52" t="str">
        <f t="shared" si="195"/>
        <v>-</v>
      </c>
      <c r="CD41" s="52" t="str">
        <f t="shared" si="196"/>
        <v>-</v>
      </c>
      <c r="CE41" s="52" t="str">
        <f t="shared" si="197"/>
        <v>-</v>
      </c>
      <c r="CF41" s="52" t="str">
        <f t="shared" si="198"/>
        <v>-</v>
      </c>
      <c r="CG41" s="52" t="str">
        <f t="shared" si="199"/>
        <v>-</v>
      </c>
      <c r="CH41" s="52" t="str">
        <f t="shared" si="200"/>
        <v>-</v>
      </c>
      <c r="CI41" s="52" t="str">
        <f t="shared" si="201"/>
        <v>-</v>
      </c>
      <c r="CJ41" s="52" t="str">
        <f t="shared" si="202"/>
        <v>-</v>
      </c>
      <c r="CK41" s="52" t="str">
        <f t="shared" si="203"/>
        <v>-</v>
      </c>
      <c r="CL41" s="52" t="str">
        <f t="shared" si="204"/>
        <v>-</v>
      </c>
      <c r="CM41" s="52" t="str">
        <f t="shared" si="205"/>
        <v>-</v>
      </c>
      <c r="CN41" s="52" t="str">
        <f t="shared" si="206"/>
        <v>-</v>
      </c>
      <c r="CO41" s="53" t="str">
        <f t="shared" si="207"/>
        <v>-</v>
      </c>
      <c r="CQ41" s="305" t="str">
        <f t="shared" si="126"/>
        <v>-</v>
      </c>
      <c r="CR41" s="305">
        <f t="shared" si="127"/>
        <v>35.69</v>
      </c>
      <c r="CS41" s="305" t="str">
        <f t="shared" si="128"/>
        <v>-</v>
      </c>
      <c r="CT41" s="305" t="str">
        <f t="shared" si="129"/>
        <v>-</v>
      </c>
      <c r="CU41" s="305" t="str">
        <f t="shared" si="130"/>
        <v>-</v>
      </c>
      <c r="CV41" s="305" t="str">
        <f t="shared" si="131"/>
        <v>-</v>
      </c>
      <c r="CX41" s="51" t="str">
        <f t="shared" si="208"/>
        <v>-</v>
      </c>
      <c r="CY41" s="52">
        <f t="shared" si="209"/>
        <v>34.49</v>
      </c>
      <c r="CZ41" s="53" t="str">
        <f t="shared" si="210"/>
        <v>-</v>
      </c>
      <c r="DA41" s="51" t="str">
        <f t="shared" si="211"/>
        <v>-</v>
      </c>
      <c r="DB41" s="52" t="str">
        <f t="shared" si="212"/>
        <v>-</v>
      </c>
      <c r="DC41" s="53" t="str">
        <f t="shared" si="213"/>
        <v>-</v>
      </c>
      <c r="DD41" s="57"/>
      <c r="DE41" s="106" t="str">
        <f t="shared" si="214"/>
        <v>-</v>
      </c>
      <c r="DF41" s="107" t="str">
        <f t="shared" si="215"/>
        <v>-</v>
      </c>
      <c r="DG41" s="107" t="str">
        <f t="shared" si="216"/>
        <v>-</v>
      </c>
      <c r="DH41" s="107" t="str">
        <f t="shared" si="217"/>
        <v>-</v>
      </c>
      <c r="DI41" s="107" t="str">
        <f t="shared" si="218"/>
        <v>-</v>
      </c>
      <c r="DJ41" s="107" t="str">
        <f t="shared" si="219"/>
        <v>-</v>
      </c>
      <c r="DK41" s="107" t="str">
        <f t="shared" si="220"/>
        <v>-</v>
      </c>
      <c r="DL41" s="107" t="str">
        <f t="shared" si="221"/>
        <v>-</v>
      </c>
      <c r="DM41" s="108" t="str">
        <f t="shared" si="222"/>
        <v>-</v>
      </c>
      <c r="DO41" s="106" t="str">
        <f t="shared" si="223"/>
        <v>-</v>
      </c>
      <c r="DP41" s="107" t="str">
        <f t="shared" si="224"/>
        <v>-</v>
      </c>
      <c r="DQ41" s="107" t="str">
        <f t="shared" si="225"/>
        <v>-</v>
      </c>
      <c r="DR41" s="107" t="str">
        <f t="shared" si="226"/>
        <v>-</v>
      </c>
      <c r="DS41" s="107" t="str">
        <f t="shared" si="227"/>
        <v>-</v>
      </c>
      <c r="DT41" s="107" t="str">
        <f t="shared" si="228"/>
        <v>-</v>
      </c>
      <c r="DU41" s="107" t="str">
        <f t="shared" si="229"/>
        <v>-</v>
      </c>
      <c r="DV41" s="107" t="str">
        <f t="shared" si="230"/>
        <v>-</v>
      </c>
      <c r="DW41" s="108" t="str">
        <f t="shared" si="231"/>
        <v>-</v>
      </c>
      <c r="DX41" s="109" t="str">
        <f t="shared" si="232"/>
        <v>-</v>
      </c>
      <c r="DY41" s="110" t="str">
        <f t="shared" si="233"/>
        <v>-</v>
      </c>
      <c r="DZ41" s="110" t="str">
        <f t="shared" si="234"/>
        <v>-</v>
      </c>
      <c r="EA41" s="110">
        <f t="shared" si="235"/>
        <v>35.69</v>
      </c>
      <c r="EB41" s="110" t="str">
        <f t="shared" si="236"/>
        <v>-</v>
      </c>
      <c r="EC41" s="110" t="str">
        <f t="shared" si="237"/>
        <v>-</v>
      </c>
      <c r="ED41" s="110" t="str">
        <f t="shared" si="238"/>
        <v>-</v>
      </c>
      <c r="EE41" s="110" t="str">
        <f t="shared" si="239"/>
        <v>-</v>
      </c>
      <c r="EF41" s="111" t="str">
        <f t="shared" si="240"/>
        <v>-</v>
      </c>
      <c r="EG41" s="109" t="str">
        <f t="shared" si="241"/>
        <v>-</v>
      </c>
      <c r="EH41" s="110" t="str">
        <f t="shared" si="242"/>
        <v>-</v>
      </c>
      <c r="EI41" s="110" t="str">
        <f t="shared" si="243"/>
        <v>-</v>
      </c>
      <c r="EJ41" s="110" t="str">
        <f t="shared" si="244"/>
        <v>-</v>
      </c>
      <c r="EK41" s="110" t="str">
        <f t="shared" si="245"/>
        <v>-</v>
      </c>
      <c r="EL41" s="110" t="str">
        <f t="shared" si="246"/>
        <v>-</v>
      </c>
      <c r="EM41" s="110" t="str">
        <f t="shared" si="247"/>
        <v>-</v>
      </c>
      <c r="EN41" s="110" t="str">
        <f t="shared" si="248"/>
        <v>-</v>
      </c>
      <c r="EO41" s="111" t="str">
        <f t="shared" si="249"/>
        <v>-</v>
      </c>
      <c r="EQ41" s="118">
        <f t="shared" si="250"/>
        <v>34.49</v>
      </c>
      <c r="ER41" s="119" t="str">
        <f t="shared" si="251"/>
        <v>-</v>
      </c>
      <c r="ES41" s="120" t="str">
        <f t="shared" si="252"/>
        <v>-</v>
      </c>
      <c r="ET41" s="90">
        <v>2</v>
      </c>
      <c r="EU41" s="118">
        <f t="shared" si="253"/>
        <v>2</v>
      </c>
      <c r="EV41" s="119" t="str">
        <f t="shared" si="254"/>
        <v>-</v>
      </c>
      <c r="EW41" s="120" t="str">
        <f t="shared" si="255"/>
        <v>-</v>
      </c>
    </row>
    <row r="42" spans="1:153" ht="15.75" thickBot="1" x14ac:dyDescent="0.3">
      <c r="A42" s="41"/>
      <c r="B42" s="171" t="s">
        <v>479</v>
      </c>
      <c r="C42" s="171" t="s">
        <v>480</v>
      </c>
      <c r="D42" s="42">
        <f>VLOOKUP(B42,'BASE DE DATOS'!$B$3:$E$106,2,FALSE)</f>
        <v>34.49</v>
      </c>
      <c r="E42" s="42">
        <f>VLOOKUP(B42,'BASE DE DATOS'!$B$3:$E$106,4,FALSE)</f>
        <v>1.8400000000000034</v>
      </c>
      <c r="F42" s="42">
        <f>VLOOKUP(C42,'BASE DE DATOS'!$B$3:$E$106,2,FALSE)</f>
        <v>34.43</v>
      </c>
      <c r="G42" s="42">
        <f>VLOOKUP(C42,'BASE DE DATOS'!$B$3:$E$106,4,FALSE)</f>
        <v>1.9099999999999966</v>
      </c>
      <c r="H42" s="43">
        <f t="shared" si="135"/>
        <v>1.875</v>
      </c>
      <c r="I42" s="171">
        <v>44.28</v>
      </c>
      <c r="J42" s="44">
        <f t="shared" si="132"/>
        <v>44.28</v>
      </c>
      <c r="K42" s="40">
        <f t="shared" si="133"/>
        <v>42.68</v>
      </c>
      <c r="L42" s="40">
        <f t="shared" si="134"/>
        <v>43.08</v>
      </c>
      <c r="M42" s="40">
        <f t="shared" si="124"/>
        <v>200</v>
      </c>
      <c r="N42" s="40">
        <f t="shared" si="125"/>
        <v>44.28</v>
      </c>
      <c r="O42" s="171" t="s">
        <v>120</v>
      </c>
      <c r="P42" s="19">
        <v>187.6</v>
      </c>
      <c r="Q42" s="171" t="s">
        <v>123</v>
      </c>
      <c r="R42" s="171" t="s">
        <v>133</v>
      </c>
      <c r="S42" s="171" t="s">
        <v>148</v>
      </c>
      <c r="T42" s="171" t="s">
        <v>149</v>
      </c>
      <c r="V42" s="51" t="str">
        <f t="shared" si="136"/>
        <v>-</v>
      </c>
      <c r="W42" s="52" t="str">
        <f t="shared" si="137"/>
        <v>-</v>
      </c>
      <c r="X42" s="52" t="str">
        <f t="shared" si="138"/>
        <v>-</v>
      </c>
      <c r="Y42" s="52" t="str">
        <f t="shared" si="139"/>
        <v>-</v>
      </c>
      <c r="Z42" s="52" t="str">
        <f t="shared" si="140"/>
        <v>-</v>
      </c>
      <c r="AA42" s="52" t="str">
        <f t="shared" si="141"/>
        <v>-</v>
      </c>
      <c r="AB42" s="52" t="str">
        <f t="shared" si="142"/>
        <v>-</v>
      </c>
      <c r="AC42" s="52" t="str">
        <f t="shared" si="143"/>
        <v>-</v>
      </c>
      <c r="AD42" s="52" t="str">
        <f t="shared" si="144"/>
        <v>-</v>
      </c>
      <c r="AE42" s="52" t="str">
        <f t="shared" si="145"/>
        <v>-</v>
      </c>
      <c r="AF42" s="52" t="str">
        <f t="shared" si="146"/>
        <v>-</v>
      </c>
      <c r="AG42" s="52" t="str">
        <f t="shared" si="147"/>
        <v>-</v>
      </c>
      <c r="AH42" s="52" t="str">
        <f t="shared" si="148"/>
        <v>-</v>
      </c>
      <c r="AI42" s="52" t="str">
        <f t="shared" si="149"/>
        <v>-</v>
      </c>
      <c r="AJ42" s="52" t="str">
        <f t="shared" si="150"/>
        <v>-</v>
      </c>
      <c r="AK42" s="52" t="str">
        <f t="shared" si="151"/>
        <v>-</v>
      </c>
      <c r="AL42" s="52" t="str">
        <f t="shared" si="152"/>
        <v>-</v>
      </c>
      <c r="AM42" s="53" t="str">
        <f t="shared" si="153"/>
        <v>-</v>
      </c>
      <c r="AN42" s="51" t="str">
        <f t="shared" si="154"/>
        <v>-</v>
      </c>
      <c r="AO42" s="52" t="str">
        <f t="shared" si="155"/>
        <v>-</v>
      </c>
      <c r="AP42" s="52" t="str">
        <f t="shared" si="156"/>
        <v>-</v>
      </c>
      <c r="AQ42" s="52" t="str">
        <f t="shared" si="157"/>
        <v>-</v>
      </c>
      <c r="AR42" s="52" t="str">
        <f t="shared" si="158"/>
        <v>-</v>
      </c>
      <c r="AS42" s="52" t="str">
        <f t="shared" si="159"/>
        <v>-</v>
      </c>
      <c r="AT42" s="52" t="str">
        <f t="shared" si="160"/>
        <v>-</v>
      </c>
      <c r="AU42" s="52" t="str">
        <f t="shared" si="161"/>
        <v>-</v>
      </c>
      <c r="AV42" s="52" t="str">
        <f t="shared" si="162"/>
        <v>-</v>
      </c>
      <c r="AW42" s="52" t="str">
        <f t="shared" si="163"/>
        <v>-</v>
      </c>
      <c r="AX42" s="52" t="str">
        <f t="shared" si="164"/>
        <v>-</v>
      </c>
      <c r="AY42" s="52" t="str">
        <f t="shared" si="165"/>
        <v>-</v>
      </c>
      <c r="AZ42" s="52" t="str">
        <f t="shared" si="166"/>
        <v>-</v>
      </c>
      <c r="BA42" s="52" t="str">
        <f t="shared" si="167"/>
        <v>-</v>
      </c>
      <c r="BB42" s="52" t="str">
        <f t="shared" si="168"/>
        <v>-</v>
      </c>
      <c r="BC42" s="52" t="str">
        <f t="shared" si="169"/>
        <v>-</v>
      </c>
      <c r="BD42" s="52" t="str">
        <f t="shared" si="170"/>
        <v>-</v>
      </c>
      <c r="BE42" s="53" t="str">
        <f t="shared" si="171"/>
        <v>-</v>
      </c>
      <c r="BF42" s="51" t="str">
        <f t="shared" si="172"/>
        <v>-</v>
      </c>
      <c r="BG42" s="52" t="str">
        <f t="shared" si="173"/>
        <v>-</v>
      </c>
      <c r="BH42" s="52" t="str">
        <f t="shared" si="174"/>
        <v>-</v>
      </c>
      <c r="BI42" s="52" t="str">
        <f t="shared" si="175"/>
        <v>-</v>
      </c>
      <c r="BJ42" s="52" t="str">
        <f t="shared" si="176"/>
        <v>-</v>
      </c>
      <c r="BK42" s="52" t="str">
        <f t="shared" si="177"/>
        <v>-</v>
      </c>
      <c r="BL42" s="52" t="str">
        <f t="shared" si="178"/>
        <v>-</v>
      </c>
      <c r="BM42" s="52">
        <f t="shared" si="179"/>
        <v>42.68</v>
      </c>
      <c r="BN42" s="52" t="str">
        <f t="shared" si="180"/>
        <v>-</v>
      </c>
      <c r="BO42" s="52" t="str">
        <f t="shared" si="181"/>
        <v>-</v>
      </c>
      <c r="BP42" s="52" t="str">
        <f t="shared" si="182"/>
        <v>-</v>
      </c>
      <c r="BQ42" s="52" t="str">
        <f t="shared" si="183"/>
        <v>-</v>
      </c>
      <c r="BR42" s="52" t="str">
        <f t="shared" si="184"/>
        <v>-</v>
      </c>
      <c r="BS42" s="52" t="str">
        <f t="shared" si="185"/>
        <v>-</v>
      </c>
      <c r="BT42" s="52" t="str">
        <f t="shared" si="186"/>
        <v>-</v>
      </c>
      <c r="BU42" s="52" t="str">
        <f t="shared" si="187"/>
        <v>-</v>
      </c>
      <c r="BV42" s="52" t="str">
        <f t="shared" si="188"/>
        <v>-</v>
      </c>
      <c r="BW42" s="53" t="str">
        <f t="shared" si="189"/>
        <v>-</v>
      </c>
      <c r="BX42" s="51" t="str">
        <f t="shared" si="190"/>
        <v>-</v>
      </c>
      <c r="BY42" s="52" t="str">
        <f t="shared" si="191"/>
        <v>-</v>
      </c>
      <c r="BZ42" s="52" t="str">
        <f t="shared" si="192"/>
        <v>-</v>
      </c>
      <c r="CA42" s="52" t="str">
        <f t="shared" si="193"/>
        <v>-</v>
      </c>
      <c r="CB42" s="52" t="str">
        <f t="shared" si="194"/>
        <v>-</v>
      </c>
      <c r="CC42" s="52" t="str">
        <f t="shared" si="195"/>
        <v>-</v>
      </c>
      <c r="CD42" s="52" t="str">
        <f t="shared" si="196"/>
        <v>-</v>
      </c>
      <c r="CE42" s="52" t="str">
        <f t="shared" si="197"/>
        <v>-</v>
      </c>
      <c r="CF42" s="52" t="str">
        <f t="shared" si="198"/>
        <v>-</v>
      </c>
      <c r="CG42" s="52" t="str">
        <f t="shared" si="199"/>
        <v>-</v>
      </c>
      <c r="CH42" s="52" t="str">
        <f t="shared" si="200"/>
        <v>-</v>
      </c>
      <c r="CI42" s="52" t="str">
        <f t="shared" si="201"/>
        <v>-</v>
      </c>
      <c r="CJ42" s="52" t="str">
        <f t="shared" si="202"/>
        <v>-</v>
      </c>
      <c r="CK42" s="52" t="str">
        <f t="shared" si="203"/>
        <v>-</v>
      </c>
      <c r="CL42" s="52" t="str">
        <f t="shared" si="204"/>
        <v>-</v>
      </c>
      <c r="CM42" s="52" t="str">
        <f t="shared" si="205"/>
        <v>-</v>
      </c>
      <c r="CN42" s="52" t="str">
        <f t="shared" si="206"/>
        <v>-</v>
      </c>
      <c r="CO42" s="53" t="str">
        <f t="shared" si="207"/>
        <v>-</v>
      </c>
      <c r="CQ42" s="305" t="str">
        <f t="shared" si="126"/>
        <v>-</v>
      </c>
      <c r="CR42" s="305" t="str">
        <f t="shared" si="127"/>
        <v>-</v>
      </c>
      <c r="CS42" s="305" t="str">
        <f t="shared" si="128"/>
        <v>-</v>
      </c>
      <c r="CT42" s="305">
        <f t="shared" si="129"/>
        <v>44.28</v>
      </c>
      <c r="CU42" s="305" t="str">
        <f t="shared" si="130"/>
        <v>-</v>
      </c>
      <c r="CV42" s="305" t="str">
        <f t="shared" si="131"/>
        <v>-</v>
      </c>
      <c r="CX42" s="51" t="str">
        <f t="shared" si="208"/>
        <v>-</v>
      </c>
      <c r="CY42" s="52">
        <f t="shared" si="209"/>
        <v>43.08</v>
      </c>
      <c r="CZ42" s="53" t="str">
        <f t="shared" si="210"/>
        <v>-</v>
      </c>
      <c r="DA42" s="51" t="str">
        <f t="shared" si="211"/>
        <v>-</v>
      </c>
      <c r="DB42" s="52" t="str">
        <f t="shared" si="212"/>
        <v>-</v>
      </c>
      <c r="DC42" s="53" t="str">
        <f t="shared" si="213"/>
        <v>-</v>
      </c>
      <c r="DD42" s="57"/>
      <c r="DE42" s="106" t="str">
        <f t="shared" si="214"/>
        <v>-</v>
      </c>
      <c r="DF42" s="107" t="str">
        <f t="shared" si="215"/>
        <v>-</v>
      </c>
      <c r="DG42" s="107" t="str">
        <f t="shared" si="216"/>
        <v>-</v>
      </c>
      <c r="DH42" s="107" t="str">
        <f t="shared" si="217"/>
        <v>-</v>
      </c>
      <c r="DI42" s="107" t="str">
        <f t="shared" si="218"/>
        <v>-</v>
      </c>
      <c r="DJ42" s="107" t="str">
        <f t="shared" si="219"/>
        <v>-</v>
      </c>
      <c r="DK42" s="107" t="str">
        <f t="shared" si="220"/>
        <v>-</v>
      </c>
      <c r="DL42" s="107" t="str">
        <f t="shared" si="221"/>
        <v>-</v>
      </c>
      <c r="DM42" s="108" t="str">
        <f t="shared" si="222"/>
        <v>-</v>
      </c>
      <c r="DO42" s="106" t="str">
        <f t="shared" si="223"/>
        <v>-</v>
      </c>
      <c r="DP42" s="107" t="str">
        <f t="shared" si="224"/>
        <v>-</v>
      </c>
      <c r="DQ42" s="107" t="str">
        <f t="shared" si="225"/>
        <v>-</v>
      </c>
      <c r="DR42" s="107" t="str">
        <f t="shared" si="226"/>
        <v>-</v>
      </c>
      <c r="DS42" s="107" t="str">
        <f t="shared" si="227"/>
        <v>-</v>
      </c>
      <c r="DT42" s="107" t="str">
        <f t="shared" si="228"/>
        <v>-</v>
      </c>
      <c r="DU42" s="107" t="str">
        <f t="shared" si="229"/>
        <v>-</v>
      </c>
      <c r="DV42" s="107" t="str">
        <f t="shared" si="230"/>
        <v>-</v>
      </c>
      <c r="DW42" s="108" t="str">
        <f t="shared" si="231"/>
        <v>-</v>
      </c>
      <c r="DX42" s="109" t="str">
        <f t="shared" si="232"/>
        <v>-</v>
      </c>
      <c r="DY42" s="110" t="str">
        <f t="shared" si="233"/>
        <v>-</v>
      </c>
      <c r="DZ42" s="110" t="str">
        <f t="shared" si="234"/>
        <v>-</v>
      </c>
      <c r="EA42" s="110">
        <f t="shared" si="235"/>
        <v>44.28</v>
      </c>
      <c r="EB42" s="110" t="str">
        <f t="shared" si="236"/>
        <v>-</v>
      </c>
      <c r="EC42" s="110" t="str">
        <f t="shared" si="237"/>
        <v>-</v>
      </c>
      <c r="ED42" s="110" t="str">
        <f t="shared" si="238"/>
        <v>-</v>
      </c>
      <c r="EE42" s="110" t="str">
        <f t="shared" si="239"/>
        <v>-</v>
      </c>
      <c r="EF42" s="111" t="str">
        <f t="shared" si="240"/>
        <v>-</v>
      </c>
      <c r="EG42" s="109" t="str">
        <f t="shared" si="241"/>
        <v>-</v>
      </c>
      <c r="EH42" s="110" t="str">
        <f t="shared" si="242"/>
        <v>-</v>
      </c>
      <c r="EI42" s="110" t="str">
        <f t="shared" si="243"/>
        <v>-</v>
      </c>
      <c r="EJ42" s="110" t="str">
        <f t="shared" si="244"/>
        <v>-</v>
      </c>
      <c r="EK42" s="110" t="str">
        <f t="shared" si="245"/>
        <v>-</v>
      </c>
      <c r="EL42" s="110" t="str">
        <f t="shared" si="246"/>
        <v>-</v>
      </c>
      <c r="EM42" s="110" t="str">
        <f t="shared" si="247"/>
        <v>-</v>
      </c>
      <c r="EN42" s="110" t="str">
        <f t="shared" si="248"/>
        <v>-</v>
      </c>
      <c r="EO42" s="111" t="str">
        <f t="shared" si="249"/>
        <v>-</v>
      </c>
      <c r="EQ42" s="118">
        <f t="shared" si="250"/>
        <v>43.08</v>
      </c>
      <c r="ER42" s="119" t="str">
        <f t="shared" si="251"/>
        <v>-</v>
      </c>
      <c r="ES42" s="120" t="str">
        <f t="shared" si="252"/>
        <v>-</v>
      </c>
      <c r="ET42" s="90">
        <v>2</v>
      </c>
      <c r="EU42" s="118">
        <f t="shared" si="253"/>
        <v>2</v>
      </c>
      <c r="EV42" s="119" t="str">
        <f t="shared" si="254"/>
        <v>-</v>
      </c>
      <c r="EW42" s="120" t="str">
        <f t="shared" si="255"/>
        <v>-</v>
      </c>
    </row>
    <row r="43" spans="1:153" ht="15.75" thickBot="1" x14ac:dyDescent="0.3">
      <c r="A43" s="41"/>
      <c r="B43" s="171" t="s">
        <v>480</v>
      </c>
      <c r="C43" s="171" t="s">
        <v>483</v>
      </c>
      <c r="D43" s="42">
        <f>VLOOKUP(B43,'BASE DE DATOS'!$B$3:$E$106,2,FALSE)</f>
        <v>34.43</v>
      </c>
      <c r="E43" s="42">
        <f>VLOOKUP(B43,'BASE DE DATOS'!$B$3:$E$106,4,FALSE)</f>
        <v>1.9099999999999966</v>
      </c>
      <c r="F43" s="42">
        <f>VLOOKUP(C43,'BASE DE DATOS'!$B$3:$E$106,2,FALSE)</f>
        <v>34.22</v>
      </c>
      <c r="G43" s="42">
        <f>VLOOKUP(C43,'BASE DE DATOS'!$B$3:$E$106,4,FALSE)</f>
        <v>1.8200000000000003</v>
      </c>
      <c r="H43" s="43">
        <f t="shared" si="135"/>
        <v>1.8649999999999984</v>
      </c>
      <c r="I43" s="171">
        <v>44.62</v>
      </c>
      <c r="J43" s="44">
        <f t="shared" si="132"/>
        <v>44.62</v>
      </c>
      <c r="K43" s="40">
        <f t="shared" si="133"/>
        <v>43.02</v>
      </c>
      <c r="L43" s="40">
        <f t="shared" si="134"/>
        <v>43.42</v>
      </c>
      <c r="M43" s="44">
        <f t="shared" si="124"/>
        <v>200</v>
      </c>
      <c r="N43" s="40">
        <f t="shared" si="125"/>
        <v>44.62</v>
      </c>
      <c r="O43" s="171" t="s">
        <v>120</v>
      </c>
      <c r="P43" s="19">
        <v>187.6</v>
      </c>
      <c r="Q43" s="171" t="s">
        <v>123</v>
      </c>
      <c r="R43" s="171" t="s">
        <v>133</v>
      </c>
      <c r="S43" s="171" t="s">
        <v>148</v>
      </c>
      <c r="T43" s="171" t="s">
        <v>149</v>
      </c>
      <c r="V43" s="51" t="str">
        <f t="shared" si="136"/>
        <v>-</v>
      </c>
      <c r="W43" s="52" t="str">
        <f t="shared" si="137"/>
        <v>-</v>
      </c>
      <c r="X43" s="52" t="str">
        <f t="shared" si="138"/>
        <v>-</v>
      </c>
      <c r="Y43" s="52" t="str">
        <f t="shared" si="139"/>
        <v>-</v>
      </c>
      <c r="Z43" s="52" t="str">
        <f t="shared" si="140"/>
        <v>-</v>
      </c>
      <c r="AA43" s="52" t="str">
        <f t="shared" si="141"/>
        <v>-</v>
      </c>
      <c r="AB43" s="52" t="str">
        <f t="shared" si="142"/>
        <v>-</v>
      </c>
      <c r="AC43" s="52" t="str">
        <f t="shared" si="143"/>
        <v>-</v>
      </c>
      <c r="AD43" s="52" t="str">
        <f t="shared" si="144"/>
        <v>-</v>
      </c>
      <c r="AE43" s="52" t="str">
        <f t="shared" si="145"/>
        <v>-</v>
      </c>
      <c r="AF43" s="52" t="str">
        <f t="shared" si="146"/>
        <v>-</v>
      </c>
      <c r="AG43" s="52" t="str">
        <f t="shared" si="147"/>
        <v>-</v>
      </c>
      <c r="AH43" s="52" t="str">
        <f t="shared" si="148"/>
        <v>-</v>
      </c>
      <c r="AI43" s="52" t="str">
        <f t="shared" si="149"/>
        <v>-</v>
      </c>
      <c r="AJ43" s="52" t="str">
        <f t="shared" si="150"/>
        <v>-</v>
      </c>
      <c r="AK43" s="52" t="str">
        <f t="shared" si="151"/>
        <v>-</v>
      </c>
      <c r="AL43" s="52" t="str">
        <f t="shared" si="152"/>
        <v>-</v>
      </c>
      <c r="AM43" s="53" t="str">
        <f t="shared" si="153"/>
        <v>-</v>
      </c>
      <c r="AN43" s="51" t="str">
        <f t="shared" si="154"/>
        <v>-</v>
      </c>
      <c r="AO43" s="52" t="str">
        <f t="shared" si="155"/>
        <v>-</v>
      </c>
      <c r="AP43" s="52" t="str">
        <f t="shared" si="156"/>
        <v>-</v>
      </c>
      <c r="AQ43" s="52" t="str">
        <f t="shared" si="157"/>
        <v>-</v>
      </c>
      <c r="AR43" s="52" t="str">
        <f t="shared" si="158"/>
        <v>-</v>
      </c>
      <c r="AS43" s="52" t="str">
        <f t="shared" si="159"/>
        <v>-</v>
      </c>
      <c r="AT43" s="52" t="str">
        <f t="shared" si="160"/>
        <v>-</v>
      </c>
      <c r="AU43" s="52" t="str">
        <f t="shared" si="161"/>
        <v>-</v>
      </c>
      <c r="AV43" s="52" t="str">
        <f t="shared" si="162"/>
        <v>-</v>
      </c>
      <c r="AW43" s="52" t="str">
        <f t="shared" si="163"/>
        <v>-</v>
      </c>
      <c r="AX43" s="52" t="str">
        <f t="shared" si="164"/>
        <v>-</v>
      </c>
      <c r="AY43" s="52" t="str">
        <f t="shared" si="165"/>
        <v>-</v>
      </c>
      <c r="AZ43" s="52" t="str">
        <f t="shared" si="166"/>
        <v>-</v>
      </c>
      <c r="BA43" s="52" t="str">
        <f t="shared" si="167"/>
        <v>-</v>
      </c>
      <c r="BB43" s="52" t="str">
        <f t="shared" si="168"/>
        <v>-</v>
      </c>
      <c r="BC43" s="52" t="str">
        <f t="shared" si="169"/>
        <v>-</v>
      </c>
      <c r="BD43" s="52" t="str">
        <f t="shared" si="170"/>
        <v>-</v>
      </c>
      <c r="BE43" s="53" t="str">
        <f t="shared" si="171"/>
        <v>-</v>
      </c>
      <c r="BF43" s="51" t="str">
        <f t="shared" si="172"/>
        <v>-</v>
      </c>
      <c r="BG43" s="52" t="str">
        <f t="shared" si="173"/>
        <v>-</v>
      </c>
      <c r="BH43" s="52" t="str">
        <f t="shared" si="174"/>
        <v>-</v>
      </c>
      <c r="BI43" s="52" t="str">
        <f t="shared" si="175"/>
        <v>-</v>
      </c>
      <c r="BJ43" s="52" t="str">
        <f t="shared" si="176"/>
        <v>-</v>
      </c>
      <c r="BK43" s="52" t="str">
        <f t="shared" si="177"/>
        <v>-</v>
      </c>
      <c r="BL43" s="52" t="str">
        <f t="shared" si="178"/>
        <v>-</v>
      </c>
      <c r="BM43" s="52">
        <f t="shared" si="179"/>
        <v>43.02</v>
      </c>
      <c r="BN43" s="52" t="str">
        <f t="shared" si="180"/>
        <v>-</v>
      </c>
      <c r="BO43" s="52" t="str">
        <f t="shared" si="181"/>
        <v>-</v>
      </c>
      <c r="BP43" s="52" t="str">
        <f t="shared" si="182"/>
        <v>-</v>
      </c>
      <c r="BQ43" s="52" t="str">
        <f t="shared" si="183"/>
        <v>-</v>
      </c>
      <c r="BR43" s="52" t="str">
        <f t="shared" si="184"/>
        <v>-</v>
      </c>
      <c r="BS43" s="52" t="str">
        <f t="shared" si="185"/>
        <v>-</v>
      </c>
      <c r="BT43" s="52" t="str">
        <f t="shared" si="186"/>
        <v>-</v>
      </c>
      <c r="BU43" s="52" t="str">
        <f t="shared" si="187"/>
        <v>-</v>
      </c>
      <c r="BV43" s="52" t="str">
        <f t="shared" si="188"/>
        <v>-</v>
      </c>
      <c r="BW43" s="53" t="str">
        <f t="shared" si="189"/>
        <v>-</v>
      </c>
      <c r="BX43" s="51" t="str">
        <f t="shared" si="190"/>
        <v>-</v>
      </c>
      <c r="BY43" s="52" t="str">
        <f t="shared" si="191"/>
        <v>-</v>
      </c>
      <c r="BZ43" s="52" t="str">
        <f t="shared" si="192"/>
        <v>-</v>
      </c>
      <c r="CA43" s="52" t="str">
        <f t="shared" si="193"/>
        <v>-</v>
      </c>
      <c r="CB43" s="52" t="str">
        <f t="shared" si="194"/>
        <v>-</v>
      </c>
      <c r="CC43" s="52" t="str">
        <f t="shared" si="195"/>
        <v>-</v>
      </c>
      <c r="CD43" s="52" t="str">
        <f t="shared" si="196"/>
        <v>-</v>
      </c>
      <c r="CE43" s="52" t="str">
        <f t="shared" si="197"/>
        <v>-</v>
      </c>
      <c r="CF43" s="52" t="str">
        <f t="shared" si="198"/>
        <v>-</v>
      </c>
      <c r="CG43" s="52" t="str">
        <f t="shared" si="199"/>
        <v>-</v>
      </c>
      <c r="CH43" s="52" t="str">
        <f t="shared" si="200"/>
        <v>-</v>
      </c>
      <c r="CI43" s="52" t="str">
        <f t="shared" si="201"/>
        <v>-</v>
      </c>
      <c r="CJ43" s="52" t="str">
        <f t="shared" si="202"/>
        <v>-</v>
      </c>
      <c r="CK43" s="52" t="str">
        <f t="shared" si="203"/>
        <v>-</v>
      </c>
      <c r="CL43" s="52" t="str">
        <f t="shared" si="204"/>
        <v>-</v>
      </c>
      <c r="CM43" s="52" t="str">
        <f t="shared" si="205"/>
        <v>-</v>
      </c>
      <c r="CN43" s="52" t="str">
        <f t="shared" si="206"/>
        <v>-</v>
      </c>
      <c r="CO43" s="53" t="str">
        <f t="shared" si="207"/>
        <v>-</v>
      </c>
      <c r="CQ43" s="305" t="str">
        <f t="shared" si="126"/>
        <v>-</v>
      </c>
      <c r="CR43" s="305" t="str">
        <f t="shared" si="127"/>
        <v>-</v>
      </c>
      <c r="CS43" s="305" t="str">
        <f t="shared" si="128"/>
        <v>-</v>
      </c>
      <c r="CT43" s="305">
        <f t="shared" si="129"/>
        <v>44.62</v>
      </c>
      <c r="CU43" s="305" t="str">
        <f t="shared" si="130"/>
        <v>-</v>
      </c>
      <c r="CV43" s="305" t="str">
        <f t="shared" si="131"/>
        <v>-</v>
      </c>
      <c r="CX43" s="51" t="str">
        <f t="shared" si="208"/>
        <v>-</v>
      </c>
      <c r="CY43" s="52">
        <f t="shared" si="209"/>
        <v>43.42</v>
      </c>
      <c r="CZ43" s="53" t="str">
        <f t="shared" si="210"/>
        <v>-</v>
      </c>
      <c r="DA43" s="51" t="str">
        <f t="shared" si="211"/>
        <v>-</v>
      </c>
      <c r="DB43" s="52" t="str">
        <f t="shared" si="212"/>
        <v>-</v>
      </c>
      <c r="DC43" s="53" t="str">
        <f t="shared" si="213"/>
        <v>-</v>
      </c>
      <c r="DD43" s="57"/>
      <c r="DE43" s="106" t="str">
        <f t="shared" si="214"/>
        <v>-</v>
      </c>
      <c r="DF43" s="107" t="str">
        <f t="shared" si="215"/>
        <v>-</v>
      </c>
      <c r="DG43" s="107" t="str">
        <f t="shared" si="216"/>
        <v>-</v>
      </c>
      <c r="DH43" s="107" t="str">
        <f t="shared" si="217"/>
        <v>-</v>
      </c>
      <c r="DI43" s="107" t="str">
        <f t="shared" si="218"/>
        <v>-</v>
      </c>
      <c r="DJ43" s="107" t="str">
        <f t="shared" si="219"/>
        <v>-</v>
      </c>
      <c r="DK43" s="107" t="str">
        <f t="shared" si="220"/>
        <v>-</v>
      </c>
      <c r="DL43" s="107" t="str">
        <f t="shared" si="221"/>
        <v>-</v>
      </c>
      <c r="DM43" s="108" t="str">
        <f t="shared" si="222"/>
        <v>-</v>
      </c>
      <c r="DO43" s="106" t="str">
        <f t="shared" si="223"/>
        <v>-</v>
      </c>
      <c r="DP43" s="107" t="str">
        <f t="shared" si="224"/>
        <v>-</v>
      </c>
      <c r="DQ43" s="107" t="str">
        <f t="shared" si="225"/>
        <v>-</v>
      </c>
      <c r="DR43" s="107" t="str">
        <f t="shared" si="226"/>
        <v>-</v>
      </c>
      <c r="DS43" s="107" t="str">
        <f t="shared" si="227"/>
        <v>-</v>
      </c>
      <c r="DT43" s="107" t="str">
        <f t="shared" si="228"/>
        <v>-</v>
      </c>
      <c r="DU43" s="107" t="str">
        <f t="shared" si="229"/>
        <v>-</v>
      </c>
      <c r="DV43" s="107" t="str">
        <f t="shared" si="230"/>
        <v>-</v>
      </c>
      <c r="DW43" s="108" t="str">
        <f t="shared" si="231"/>
        <v>-</v>
      </c>
      <c r="DX43" s="109" t="str">
        <f t="shared" si="232"/>
        <v>-</v>
      </c>
      <c r="DY43" s="110" t="str">
        <f t="shared" si="233"/>
        <v>-</v>
      </c>
      <c r="DZ43" s="110" t="str">
        <f t="shared" si="234"/>
        <v>-</v>
      </c>
      <c r="EA43" s="110">
        <f t="shared" si="235"/>
        <v>44.62</v>
      </c>
      <c r="EB43" s="110" t="str">
        <f t="shared" si="236"/>
        <v>-</v>
      </c>
      <c r="EC43" s="110" t="str">
        <f t="shared" si="237"/>
        <v>-</v>
      </c>
      <c r="ED43" s="110" t="str">
        <f t="shared" si="238"/>
        <v>-</v>
      </c>
      <c r="EE43" s="110" t="str">
        <f t="shared" si="239"/>
        <v>-</v>
      </c>
      <c r="EF43" s="111" t="str">
        <f t="shared" si="240"/>
        <v>-</v>
      </c>
      <c r="EG43" s="109" t="str">
        <f t="shared" si="241"/>
        <v>-</v>
      </c>
      <c r="EH43" s="110" t="str">
        <f t="shared" si="242"/>
        <v>-</v>
      </c>
      <c r="EI43" s="110" t="str">
        <f t="shared" si="243"/>
        <v>-</v>
      </c>
      <c r="EJ43" s="110" t="str">
        <f t="shared" si="244"/>
        <v>-</v>
      </c>
      <c r="EK43" s="110" t="str">
        <f t="shared" si="245"/>
        <v>-</v>
      </c>
      <c r="EL43" s="110" t="str">
        <f t="shared" si="246"/>
        <v>-</v>
      </c>
      <c r="EM43" s="110" t="str">
        <f t="shared" si="247"/>
        <v>-</v>
      </c>
      <c r="EN43" s="110" t="str">
        <f t="shared" si="248"/>
        <v>-</v>
      </c>
      <c r="EO43" s="111" t="str">
        <f t="shared" si="249"/>
        <v>-</v>
      </c>
      <c r="EQ43" s="118">
        <f t="shared" si="250"/>
        <v>43.42</v>
      </c>
      <c r="ER43" s="119" t="str">
        <f t="shared" si="251"/>
        <v>-</v>
      </c>
      <c r="ES43" s="120" t="str">
        <f t="shared" si="252"/>
        <v>-</v>
      </c>
      <c r="ET43" s="90">
        <v>2</v>
      </c>
      <c r="EU43" s="118">
        <f t="shared" si="253"/>
        <v>2</v>
      </c>
      <c r="EV43" s="119" t="str">
        <f t="shared" si="254"/>
        <v>-</v>
      </c>
      <c r="EW43" s="120" t="str">
        <f t="shared" si="255"/>
        <v>-</v>
      </c>
    </row>
    <row r="44" spans="1:153" ht="15.75" thickBot="1" x14ac:dyDescent="0.3">
      <c r="A44" s="41"/>
      <c r="B44" s="171" t="s">
        <v>481</v>
      </c>
      <c r="C44" s="171" t="s">
        <v>484</v>
      </c>
      <c r="D44" s="42">
        <f>VLOOKUP(B44,'BASE DE DATOS'!$B$3:$E$106,2,FALSE)</f>
        <v>35.380000000000003</v>
      </c>
      <c r="E44" s="42">
        <f>VLOOKUP(B44,'BASE DE DATOS'!$B$3:$E$106,4,FALSE)</f>
        <v>1.2000000000000028</v>
      </c>
      <c r="F44" s="42">
        <f>VLOOKUP(C44,'BASE DE DATOS'!$B$3:$E$106,2,FALSE)</f>
        <v>34.71</v>
      </c>
      <c r="G44" s="42">
        <f>VLOOKUP(C44,'BASE DE DATOS'!$B$3:$E$106,4,FALSE)</f>
        <v>2.4500000000000028</v>
      </c>
      <c r="H44" s="43">
        <f t="shared" si="135"/>
        <v>1.8250000000000028</v>
      </c>
      <c r="I44" s="171">
        <v>38.5</v>
      </c>
      <c r="J44" s="44">
        <f t="shared" si="132"/>
        <v>38.520000000000003</v>
      </c>
      <c r="K44" s="40">
        <f t="shared" si="133"/>
        <v>36.950000000000003</v>
      </c>
      <c r="L44" s="40">
        <f t="shared" si="134"/>
        <v>37.35</v>
      </c>
      <c r="M44" s="44">
        <f t="shared" si="124"/>
        <v>200</v>
      </c>
      <c r="N44" s="40">
        <f t="shared" si="125"/>
        <v>38.51</v>
      </c>
      <c r="O44" s="171" t="s">
        <v>120</v>
      </c>
      <c r="P44" s="19">
        <v>187.6</v>
      </c>
      <c r="Q44" s="171" t="s">
        <v>123</v>
      </c>
      <c r="R44" s="171" t="s">
        <v>133</v>
      </c>
      <c r="S44" s="171" t="s">
        <v>148</v>
      </c>
      <c r="T44" s="171" t="s">
        <v>149</v>
      </c>
      <c r="V44" s="51" t="str">
        <f t="shared" si="136"/>
        <v>-</v>
      </c>
      <c r="W44" s="52" t="str">
        <f t="shared" si="137"/>
        <v>-</v>
      </c>
      <c r="X44" s="52" t="str">
        <f t="shared" si="138"/>
        <v>-</v>
      </c>
      <c r="Y44" s="52" t="str">
        <f t="shared" si="139"/>
        <v>-</v>
      </c>
      <c r="Z44" s="52" t="str">
        <f t="shared" si="140"/>
        <v>-</v>
      </c>
      <c r="AA44" s="52" t="str">
        <f t="shared" si="141"/>
        <v>-</v>
      </c>
      <c r="AB44" s="52" t="str">
        <f t="shared" si="142"/>
        <v>-</v>
      </c>
      <c r="AC44" s="52" t="str">
        <f t="shared" si="143"/>
        <v>-</v>
      </c>
      <c r="AD44" s="52" t="str">
        <f t="shared" si="144"/>
        <v>-</v>
      </c>
      <c r="AE44" s="52" t="str">
        <f t="shared" si="145"/>
        <v>-</v>
      </c>
      <c r="AF44" s="52" t="str">
        <f t="shared" si="146"/>
        <v>-</v>
      </c>
      <c r="AG44" s="52" t="str">
        <f t="shared" si="147"/>
        <v>-</v>
      </c>
      <c r="AH44" s="52" t="str">
        <f t="shared" si="148"/>
        <v>-</v>
      </c>
      <c r="AI44" s="52" t="str">
        <f t="shared" si="149"/>
        <v>-</v>
      </c>
      <c r="AJ44" s="52" t="str">
        <f t="shared" si="150"/>
        <v>-</v>
      </c>
      <c r="AK44" s="52" t="str">
        <f t="shared" si="151"/>
        <v>-</v>
      </c>
      <c r="AL44" s="52" t="str">
        <f t="shared" si="152"/>
        <v>-</v>
      </c>
      <c r="AM44" s="53" t="str">
        <f t="shared" si="153"/>
        <v>-</v>
      </c>
      <c r="AN44" s="51" t="str">
        <f t="shared" si="154"/>
        <v>-</v>
      </c>
      <c r="AO44" s="52" t="str">
        <f t="shared" si="155"/>
        <v>-</v>
      </c>
      <c r="AP44" s="52" t="str">
        <f t="shared" si="156"/>
        <v>-</v>
      </c>
      <c r="AQ44" s="52" t="str">
        <f t="shared" si="157"/>
        <v>-</v>
      </c>
      <c r="AR44" s="52" t="str">
        <f t="shared" si="158"/>
        <v>-</v>
      </c>
      <c r="AS44" s="52" t="str">
        <f t="shared" si="159"/>
        <v>-</v>
      </c>
      <c r="AT44" s="52" t="str">
        <f t="shared" si="160"/>
        <v>-</v>
      </c>
      <c r="AU44" s="52" t="str">
        <f t="shared" si="161"/>
        <v>-</v>
      </c>
      <c r="AV44" s="52" t="str">
        <f t="shared" si="162"/>
        <v>-</v>
      </c>
      <c r="AW44" s="52" t="str">
        <f t="shared" si="163"/>
        <v>-</v>
      </c>
      <c r="AX44" s="52" t="str">
        <f t="shared" si="164"/>
        <v>-</v>
      </c>
      <c r="AY44" s="52" t="str">
        <f t="shared" si="165"/>
        <v>-</v>
      </c>
      <c r="AZ44" s="52" t="str">
        <f t="shared" si="166"/>
        <v>-</v>
      </c>
      <c r="BA44" s="52" t="str">
        <f t="shared" si="167"/>
        <v>-</v>
      </c>
      <c r="BB44" s="52" t="str">
        <f t="shared" si="168"/>
        <v>-</v>
      </c>
      <c r="BC44" s="52" t="str">
        <f t="shared" si="169"/>
        <v>-</v>
      </c>
      <c r="BD44" s="52" t="str">
        <f t="shared" si="170"/>
        <v>-</v>
      </c>
      <c r="BE44" s="53" t="str">
        <f t="shared" si="171"/>
        <v>-</v>
      </c>
      <c r="BF44" s="51" t="str">
        <f t="shared" si="172"/>
        <v>-</v>
      </c>
      <c r="BG44" s="52" t="str">
        <f t="shared" si="173"/>
        <v>-</v>
      </c>
      <c r="BH44" s="52" t="str">
        <f t="shared" si="174"/>
        <v>-</v>
      </c>
      <c r="BI44" s="52" t="str">
        <f t="shared" si="175"/>
        <v>-</v>
      </c>
      <c r="BJ44" s="52" t="str">
        <f t="shared" si="176"/>
        <v>-</v>
      </c>
      <c r="BK44" s="52" t="str">
        <f t="shared" si="177"/>
        <v>-</v>
      </c>
      <c r="BL44" s="52" t="str">
        <f t="shared" si="178"/>
        <v>-</v>
      </c>
      <c r="BM44" s="52">
        <f t="shared" si="179"/>
        <v>36.950000000000003</v>
      </c>
      <c r="BN44" s="52" t="str">
        <f t="shared" si="180"/>
        <v>-</v>
      </c>
      <c r="BO44" s="52" t="str">
        <f t="shared" si="181"/>
        <v>-</v>
      </c>
      <c r="BP44" s="52" t="str">
        <f t="shared" si="182"/>
        <v>-</v>
      </c>
      <c r="BQ44" s="52" t="str">
        <f t="shared" si="183"/>
        <v>-</v>
      </c>
      <c r="BR44" s="52" t="str">
        <f t="shared" si="184"/>
        <v>-</v>
      </c>
      <c r="BS44" s="52" t="str">
        <f t="shared" si="185"/>
        <v>-</v>
      </c>
      <c r="BT44" s="52" t="str">
        <f t="shared" si="186"/>
        <v>-</v>
      </c>
      <c r="BU44" s="52" t="str">
        <f t="shared" si="187"/>
        <v>-</v>
      </c>
      <c r="BV44" s="52" t="str">
        <f t="shared" si="188"/>
        <v>-</v>
      </c>
      <c r="BW44" s="53" t="str">
        <f t="shared" si="189"/>
        <v>-</v>
      </c>
      <c r="BX44" s="51" t="str">
        <f t="shared" si="190"/>
        <v>-</v>
      </c>
      <c r="BY44" s="52" t="str">
        <f t="shared" si="191"/>
        <v>-</v>
      </c>
      <c r="BZ44" s="52" t="str">
        <f t="shared" si="192"/>
        <v>-</v>
      </c>
      <c r="CA44" s="52" t="str">
        <f t="shared" si="193"/>
        <v>-</v>
      </c>
      <c r="CB44" s="52" t="str">
        <f t="shared" si="194"/>
        <v>-</v>
      </c>
      <c r="CC44" s="52" t="str">
        <f t="shared" si="195"/>
        <v>-</v>
      </c>
      <c r="CD44" s="52" t="str">
        <f t="shared" si="196"/>
        <v>-</v>
      </c>
      <c r="CE44" s="52" t="str">
        <f t="shared" si="197"/>
        <v>-</v>
      </c>
      <c r="CF44" s="52" t="str">
        <f t="shared" si="198"/>
        <v>-</v>
      </c>
      <c r="CG44" s="52" t="str">
        <f t="shared" si="199"/>
        <v>-</v>
      </c>
      <c r="CH44" s="52" t="str">
        <f t="shared" si="200"/>
        <v>-</v>
      </c>
      <c r="CI44" s="52" t="str">
        <f t="shared" si="201"/>
        <v>-</v>
      </c>
      <c r="CJ44" s="52" t="str">
        <f t="shared" si="202"/>
        <v>-</v>
      </c>
      <c r="CK44" s="52" t="str">
        <f t="shared" si="203"/>
        <v>-</v>
      </c>
      <c r="CL44" s="52" t="str">
        <f t="shared" si="204"/>
        <v>-</v>
      </c>
      <c r="CM44" s="52" t="str">
        <f t="shared" si="205"/>
        <v>-</v>
      </c>
      <c r="CN44" s="52" t="str">
        <f t="shared" si="206"/>
        <v>-</v>
      </c>
      <c r="CO44" s="53" t="str">
        <f t="shared" si="207"/>
        <v>-</v>
      </c>
      <c r="CQ44" s="305" t="str">
        <f t="shared" si="126"/>
        <v>-</v>
      </c>
      <c r="CR44" s="305" t="str">
        <f t="shared" si="127"/>
        <v>-</v>
      </c>
      <c r="CS44" s="305" t="str">
        <f t="shared" si="128"/>
        <v>-</v>
      </c>
      <c r="CT44" s="305">
        <f t="shared" si="129"/>
        <v>38.51</v>
      </c>
      <c r="CU44" s="305" t="str">
        <f t="shared" si="130"/>
        <v>-</v>
      </c>
      <c r="CV44" s="305" t="str">
        <f t="shared" si="131"/>
        <v>-</v>
      </c>
      <c r="CX44" s="51" t="str">
        <f t="shared" si="208"/>
        <v>-</v>
      </c>
      <c r="CY44" s="52">
        <f t="shared" si="209"/>
        <v>37.35</v>
      </c>
      <c r="CZ44" s="53" t="str">
        <f t="shared" si="210"/>
        <v>-</v>
      </c>
      <c r="DA44" s="51" t="str">
        <f t="shared" si="211"/>
        <v>-</v>
      </c>
      <c r="DB44" s="52" t="str">
        <f t="shared" si="212"/>
        <v>-</v>
      </c>
      <c r="DC44" s="53" t="str">
        <f t="shared" si="213"/>
        <v>-</v>
      </c>
      <c r="DD44" s="57"/>
      <c r="DE44" s="106" t="str">
        <f t="shared" si="214"/>
        <v>-</v>
      </c>
      <c r="DF44" s="107" t="str">
        <f t="shared" si="215"/>
        <v>-</v>
      </c>
      <c r="DG44" s="107" t="str">
        <f t="shared" si="216"/>
        <v>-</v>
      </c>
      <c r="DH44" s="107" t="str">
        <f t="shared" si="217"/>
        <v>-</v>
      </c>
      <c r="DI44" s="107" t="str">
        <f t="shared" si="218"/>
        <v>-</v>
      </c>
      <c r="DJ44" s="107" t="str">
        <f t="shared" si="219"/>
        <v>-</v>
      </c>
      <c r="DK44" s="107" t="str">
        <f t="shared" si="220"/>
        <v>-</v>
      </c>
      <c r="DL44" s="107" t="str">
        <f t="shared" si="221"/>
        <v>-</v>
      </c>
      <c r="DM44" s="108" t="str">
        <f t="shared" si="222"/>
        <v>-</v>
      </c>
      <c r="DO44" s="106" t="str">
        <f t="shared" si="223"/>
        <v>-</v>
      </c>
      <c r="DP44" s="107" t="str">
        <f t="shared" si="224"/>
        <v>-</v>
      </c>
      <c r="DQ44" s="107" t="str">
        <f t="shared" si="225"/>
        <v>-</v>
      </c>
      <c r="DR44" s="107" t="str">
        <f t="shared" si="226"/>
        <v>-</v>
      </c>
      <c r="DS44" s="107" t="str">
        <f t="shared" si="227"/>
        <v>-</v>
      </c>
      <c r="DT44" s="107" t="str">
        <f t="shared" si="228"/>
        <v>-</v>
      </c>
      <c r="DU44" s="107" t="str">
        <f t="shared" si="229"/>
        <v>-</v>
      </c>
      <c r="DV44" s="107" t="str">
        <f t="shared" si="230"/>
        <v>-</v>
      </c>
      <c r="DW44" s="108" t="str">
        <f t="shared" si="231"/>
        <v>-</v>
      </c>
      <c r="DX44" s="109" t="str">
        <f t="shared" si="232"/>
        <v>-</v>
      </c>
      <c r="DY44" s="110" t="str">
        <f t="shared" si="233"/>
        <v>-</v>
      </c>
      <c r="DZ44" s="110" t="str">
        <f t="shared" si="234"/>
        <v>-</v>
      </c>
      <c r="EA44" s="110">
        <f t="shared" si="235"/>
        <v>38.5</v>
      </c>
      <c r="EB44" s="110" t="str">
        <f t="shared" si="236"/>
        <v>-</v>
      </c>
      <c r="EC44" s="110" t="str">
        <f t="shared" si="237"/>
        <v>-</v>
      </c>
      <c r="ED44" s="110" t="str">
        <f t="shared" si="238"/>
        <v>-</v>
      </c>
      <c r="EE44" s="110" t="str">
        <f t="shared" si="239"/>
        <v>-</v>
      </c>
      <c r="EF44" s="111" t="str">
        <f t="shared" si="240"/>
        <v>-</v>
      </c>
      <c r="EG44" s="109" t="str">
        <f t="shared" si="241"/>
        <v>-</v>
      </c>
      <c r="EH44" s="110" t="str">
        <f t="shared" si="242"/>
        <v>-</v>
      </c>
      <c r="EI44" s="110" t="str">
        <f t="shared" si="243"/>
        <v>-</v>
      </c>
      <c r="EJ44" s="110" t="str">
        <f t="shared" si="244"/>
        <v>-</v>
      </c>
      <c r="EK44" s="110" t="str">
        <f t="shared" si="245"/>
        <v>-</v>
      </c>
      <c r="EL44" s="110" t="str">
        <f t="shared" si="246"/>
        <v>-</v>
      </c>
      <c r="EM44" s="110" t="str">
        <f t="shared" si="247"/>
        <v>-</v>
      </c>
      <c r="EN44" s="110" t="str">
        <f t="shared" si="248"/>
        <v>-</v>
      </c>
      <c r="EO44" s="111" t="str">
        <f t="shared" si="249"/>
        <v>-</v>
      </c>
      <c r="EQ44" s="118">
        <f t="shared" si="250"/>
        <v>37.35</v>
      </c>
      <c r="ER44" s="119" t="str">
        <f t="shared" si="251"/>
        <v>-</v>
      </c>
      <c r="ES44" s="120" t="str">
        <f t="shared" si="252"/>
        <v>-</v>
      </c>
      <c r="ET44" s="90">
        <v>2</v>
      </c>
      <c r="EU44" s="118">
        <f t="shared" si="253"/>
        <v>2</v>
      </c>
      <c r="EV44" s="119" t="str">
        <f t="shared" si="254"/>
        <v>-</v>
      </c>
      <c r="EW44" s="120" t="str">
        <f t="shared" si="255"/>
        <v>-</v>
      </c>
    </row>
    <row r="45" spans="1:153" ht="15.75" thickBot="1" x14ac:dyDescent="0.3">
      <c r="A45" s="41"/>
      <c r="B45" s="171" t="s">
        <v>482</v>
      </c>
      <c r="C45" s="171" t="s">
        <v>483</v>
      </c>
      <c r="D45" s="42">
        <f>VLOOKUP(B45,'BASE DE DATOS'!$B$3:$E$106,2,FALSE)</f>
        <v>34.25</v>
      </c>
      <c r="E45" s="42">
        <f>VLOOKUP(B45,'BASE DE DATOS'!$B$3:$E$106,4,FALSE)</f>
        <v>1.2000000000000028</v>
      </c>
      <c r="F45" s="42">
        <f>VLOOKUP(C45,'BASE DE DATOS'!$B$3:$E$106,2,FALSE)</f>
        <v>34.22</v>
      </c>
      <c r="G45" s="42">
        <f>VLOOKUP(C45,'BASE DE DATOS'!$B$3:$E$106,4,FALSE)</f>
        <v>1.8200000000000003</v>
      </c>
      <c r="H45" s="43">
        <f t="shared" si="135"/>
        <v>1.5100000000000016</v>
      </c>
      <c r="I45" s="171">
        <v>43.72</v>
      </c>
      <c r="J45" s="44">
        <f t="shared" si="132"/>
        <v>43.72</v>
      </c>
      <c r="K45" s="40">
        <f t="shared" si="133"/>
        <v>42.13</v>
      </c>
      <c r="L45" s="40">
        <f t="shared" si="134"/>
        <v>42.52</v>
      </c>
      <c r="M45" s="44">
        <f t="shared" si="124"/>
        <v>200</v>
      </c>
      <c r="N45" s="40">
        <f t="shared" si="125"/>
        <v>43.72</v>
      </c>
      <c r="O45" s="171" t="s">
        <v>120</v>
      </c>
      <c r="P45" s="19">
        <v>187.6</v>
      </c>
      <c r="Q45" s="171" t="s">
        <v>123</v>
      </c>
      <c r="R45" s="171" t="s">
        <v>133</v>
      </c>
      <c r="S45" s="171" t="s">
        <v>148</v>
      </c>
      <c r="T45" s="171" t="s">
        <v>149</v>
      </c>
      <c r="V45" s="51" t="str">
        <f t="shared" si="136"/>
        <v>-</v>
      </c>
      <c r="W45" s="52" t="str">
        <f t="shared" si="137"/>
        <v>-</v>
      </c>
      <c r="X45" s="52" t="str">
        <f t="shared" si="138"/>
        <v>-</v>
      </c>
      <c r="Y45" s="52" t="str">
        <f t="shared" si="139"/>
        <v>-</v>
      </c>
      <c r="Z45" s="52" t="str">
        <f t="shared" si="140"/>
        <v>-</v>
      </c>
      <c r="AA45" s="52" t="str">
        <f t="shared" si="141"/>
        <v>-</v>
      </c>
      <c r="AB45" s="52" t="str">
        <f t="shared" si="142"/>
        <v>-</v>
      </c>
      <c r="AC45" s="52" t="str">
        <f t="shared" si="143"/>
        <v>-</v>
      </c>
      <c r="AD45" s="52" t="str">
        <f t="shared" si="144"/>
        <v>-</v>
      </c>
      <c r="AE45" s="52" t="str">
        <f t="shared" si="145"/>
        <v>-</v>
      </c>
      <c r="AF45" s="52" t="str">
        <f t="shared" si="146"/>
        <v>-</v>
      </c>
      <c r="AG45" s="52" t="str">
        <f t="shared" si="147"/>
        <v>-</v>
      </c>
      <c r="AH45" s="52" t="str">
        <f t="shared" si="148"/>
        <v>-</v>
      </c>
      <c r="AI45" s="52" t="str">
        <f t="shared" si="149"/>
        <v>-</v>
      </c>
      <c r="AJ45" s="52" t="str">
        <f t="shared" si="150"/>
        <v>-</v>
      </c>
      <c r="AK45" s="52" t="str">
        <f t="shared" si="151"/>
        <v>-</v>
      </c>
      <c r="AL45" s="52" t="str">
        <f t="shared" si="152"/>
        <v>-</v>
      </c>
      <c r="AM45" s="53" t="str">
        <f t="shared" si="153"/>
        <v>-</v>
      </c>
      <c r="AN45" s="51" t="str">
        <f t="shared" si="154"/>
        <v>-</v>
      </c>
      <c r="AO45" s="52" t="str">
        <f t="shared" si="155"/>
        <v>-</v>
      </c>
      <c r="AP45" s="52" t="str">
        <f t="shared" si="156"/>
        <v>-</v>
      </c>
      <c r="AQ45" s="52" t="str">
        <f t="shared" si="157"/>
        <v>-</v>
      </c>
      <c r="AR45" s="52" t="str">
        <f t="shared" si="158"/>
        <v>-</v>
      </c>
      <c r="AS45" s="52" t="str">
        <f t="shared" si="159"/>
        <v>-</v>
      </c>
      <c r="AT45" s="52" t="str">
        <f t="shared" si="160"/>
        <v>-</v>
      </c>
      <c r="AU45" s="52" t="str">
        <f t="shared" si="161"/>
        <v>-</v>
      </c>
      <c r="AV45" s="52" t="str">
        <f t="shared" si="162"/>
        <v>-</v>
      </c>
      <c r="AW45" s="52" t="str">
        <f t="shared" si="163"/>
        <v>-</v>
      </c>
      <c r="AX45" s="52" t="str">
        <f t="shared" si="164"/>
        <v>-</v>
      </c>
      <c r="AY45" s="52" t="str">
        <f t="shared" si="165"/>
        <v>-</v>
      </c>
      <c r="AZ45" s="52" t="str">
        <f t="shared" si="166"/>
        <v>-</v>
      </c>
      <c r="BA45" s="52" t="str">
        <f t="shared" si="167"/>
        <v>-</v>
      </c>
      <c r="BB45" s="52" t="str">
        <f t="shared" si="168"/>
        <v>-</v>
      </c>
      <c r="BC45" s="52" t="str">
        <f t="shared" si="169"/>
        <v>-</v>
      </c>
      <c r="BD45" s="52" t="str">
        <f t="shared" si="170"/>
        <v>-</v>
      </c>
      <c r="BE45" s="53" t="str">
        <f t="shared" si="171"/>
        <v>-</v>
      </c>
      <c r="BF45" s="51" t="str">
        <f t="shared" si="172"/>
        <v>-</v>
      </c>
      <c r="BG45" s="52" t="str">
        <f t="shared" si="173"/>
        <v>-</v>
      </c>
      <c r="BH45" s="52" t="str">
        <f t="shared" si="174"/>
        <v>-</v>
      </c>
      <c r="BI45" s="52" t="str">
        <f t="shared" si="175"/>
        <v>-</v>
      </c>
      <c r="BJ45" s="52" t="str">
        <f t="shared" si="176"/>
        <v>-</v>
      </c>
      <c r="BK45" s="52">
        <f t="shared" si="177"/>
        <v>42.13</v>
      </c>
      <c r="BL45" s="52" t="str">
        <f t="shared" si="178"/>
        <v>-</v>
      </c>
      <c r="BM45" s="52" t="str">
        <f t="shared" si="179"/>
        <v>-</v>
      </c>
      <c r="BN45" s="52" t="str">
        <f t="shared" si="180"/>
        <v>-</v>
      </c>
      <c r="BO45" s="52" t="str">
        <f t="shared" si="181"/>
        <v>-</v>
      </c>
      <c r="BP45" s="52" t="str">
        <f t="shared" si="182"/>
        <v>-</v>
      </c>
      <c r="BQ45" s="52" t="str">
        <f t="shared" si="183"/>
        <v>-</v>
      </c>
      <c r="BR45" s="52" t="str">
        <f t="shared" si="184"/>
        <v>-</v>
      </c>
      <c r="BS45" s="52" t="str">
        <f t="shared" si="185"/>
        <v>-</v>
      </c>
      <c r="BT45" s="52" t="str">
        <f t="shared" si="186"/>
        <v>-</v>
      </c>
      <c r="BU45" s="52" t="str">
        <f t="shared" si="187"/>
        <v>-</v>
      </c>
      <c r="BV45" s="52" t="str">
        <f t="shared" si="188"/>
        <v>-</v>
      </c>
      <c r="BW45" s="53" t="str">
        <f t="shared" si="189"/>
        <v>-</v>
      </c>
      <c r="BX45" s="51" t="str">
        <f t="shared" si="190"/>
        <v>-</v>
      </c>
      <c r="BY45" s="52" t="str">
        <f t="shared" si="191"/>
        <v>-</v>
      </c>
      <c r="BZ45" s="52" t="str">
        <f t="shared" si="192"/>
        <v>-</v>
      </c>
      <c r="CA45" s="52" t="str">
        <f t="shared" si="193"/>
        <v>-</v>
      </c>
      <c r="CB45" s="52" t="str">
        <f t="shared" si="194"/>
        <v>-</v>
      </c>
      <c r="CC45" s="52" t="str">
        <f t="shared" si="195"/>
        <v>-</v>
      </c>
      <c r="CD45" s="52" t="str">
        <f t="shared" si="196"/>
        <v>-</v>
      </c>
      <c r="CE45" s="52" t="str">
        <f t="shared" si="197"/>
        <v>-</v>
      </c>
      <c r="CF45" s="52" t="str">
        <f t="shared" si="198"/>
        <v>-</v>
      </c>
      <c r="CG45" s="52" t="str">
        <f t="shared" si="199"/>
        <v>-</v>
      </c>
      <c r="CH45" s="52" t="str">
        <f t="shared" si="200"/>
        <v>-</v>
      </c>
      <c r="CI45" s="52" t="str">
        <f t="shared" si="201"/>
        <v>-</v>
      </c>
      <c r="CJ45" s="52" t="str">
        <f t="shared" si="202"/>
        <v>-</v>
      </c>
      <c r="CK45" s="52" t="str">
        <f t="shared" si="203"/>
        <v>-</v>
      </c>
      <c r="CL45" s="52" t="str">
        <f t="shared" si="204"/>
        <v>-</v>
      </c>
      <c r="CM45" s="52" t="str">
        <f t="shared" si="205"/>
        <v>-</v>
      </c>
      <c r="CN45" s="52" t="str">
        <f t="shared" si="206"/>
        <v>-</v>
      </c>
      <c r="CO45" s="53" t="str">
        <f t="shared" si="207"/>
        <v>-</v>
      </c>
      <c r="CQ45" s="305" t="str">
        <f t="shared" si="126"/>
        <v>-</v>
      </c>
      <c r="CR45" s="305" t="str">
        <f t="shared" si="127"/>
        <v>-</v>
      </c>
      <c r="CS45" s="305" t="str">
        <f t="shared" si="128"/>
        <v>-</v>
      </c>
      <c r="CT45" s="305">
        <f t="shared" si="129"/>
        <v>43.72</v>
      </c>
      <c r="CU45" s="305" t="str">
        <f t="shared" si="130"/>
        <v>-</v>
      </c>
      <c r="CV45" s="305" t="str">
        <f t="shared" si="131"/>
        <v>-</v>
      </c>
      <c r="CX45" s="51" t="str">
        <f t="shared" si="208"/>
        <v>-</v>
      </c>
      <c r="CY45" s="52">
        <f t="shared" si="209"/>
        <v>42.52</v>
      </c>
      <c r="CZ45" s="53" t="str">
        <f t="shared" si="210"/>
        <v>-</v>
      </c>
      <c r="DA45" s="51" t="str">
        <f t="shared" si="211"/>
        <v>-</v>
      </c>
      <c r="DB45" s="52" t="str">
        <f t="shared" si="212"/>
        <v>-</v>
      </c>
      <c r="DC45" s="53" t="str">
        <f t="shared" si="213"/>
        <v>-</v>
      </c>
      <c r="DD45" s="57"/>
      <c r="DE45" s="106" t="str">
        <f t="shared" si="214"/>
        <v>-</v>
      </c>
      <c r="DF45" s="107" t="str">
        <f t="shared" si="215"/>
        <v>-</v>
      </c>
      <c r="DG45" s="107" t="str">
        <f t="shared" si="216"/>
        <v>-</v>
      </c>
      <c r="DH45" s="107" t="str">
        <f t="shared" si="217"/>
        <v>-</v>
      </c>
      <c r="DI45" s="107" t="str">
        <f t="shared" si="218"/>
        <v>-</v>
      </c>
      <c r="DJ45" s="107" t="str">
        <f t="shared" si="219"/>
        <v>-</v>
      </c>
      <c r="DK45" s="107" t="str">
        <f t="shared" si="220"/>
        <v>-</v>
      </c>
      <c r="DL45" s="107" t="str">
        <f t="shared" si="221"/>
        <v>-</v>
      </c>
      <c r="DM45" s="108" t="str">
        <f t="shared" si="222"/>
        <v>-</v>
      </c>
      <c r="DO45" s="106" t="str">
        <f t="shared" si="223"/>
        <v>-</v>
      </c>
      <c r="DP45" s="107" t="str">
        <f t="shared" si="224"/>
        <v>-</v>
      </c>
      <c r="DQ45" s="107" t="str">
        <f t="shared" si="225"/>
        <v>-</v>
      </c>
      <c r="DR45" s="107" t="str">
        <f t="shared" si="226"/>
        <v>-</v>
      </c>
      <c r="DS45" s="107" t="str">
        <f t="shared" si="227"/>
        <v>-</v>
      </c>
      <c r="DT45" s="107" t="str">
        <f t="shared" si="228"/>
        <v>-</v>
      </c>
      <c r="DU45" s="107" t="str">
        <f t="shared" si="229"/>
        <v>-</v>
      </c>
      <c r="DV45" s="107" t="str">
        <f t="shared" si="230"/>
        <v>-</v>
      </c>
      <c r="DW45" s="108" t="str">
        <f t="shared" si="231"/>
        <v>-</v>
      </c>
      <c r="DX45" s="109" t="str">
        <f t="shared" si="232"/>
        <v>-</v>
      </c>
      <c r="DY45" s="110" t="str">
        <f t="shared" si="233"/>
        <v>-</v>
      </c>
      <c r="DZ45" s="110" t="str">
        <f t="shared" si="234"/>
        <v>-</v>
      </c>
      <c r="EA45" s="110">
        <f t="shared" si="235"/>
        <v>43.72</v>
      </c>
      <c r="EB45" s="110" t="str">
        <f t="shared" si="236"/>
        <v>-</v>
      </c>
      <c r="EC45" s="110" t="str">
        <f t="shared" si="237"/>
        <v>-</v>
      </c>
      <c r="ED45" s="110" t="str">
        <f t="shared" si="238"/>
        <v>-</v>
      </c>
      <c r="EE45" s="110" t="str">
        <f t="shared" si="239"/>
        <v>-</v>
      </c>
      <c r="EF45" s="111" t="str">
        <f t="shared" si="240"/>
        <v>-</v>
      </c>
      <c r="EG45" s="109" t="str">
        <f t="shared" si="241"/>
        <v>-</v>
      </c>
      <c r="EH45" s="110" t="str">
        <f t="shared" si="242"/>
        <v>-</v>
      </c>
      <c r="EI45" s="110" t="str">
        <f t="shared" si="243"/>
        <v>-</v>
      </c>
      <c r="EJ45" s="110" t="str">
        <f t="shared" si="244"/>
        <v>-</v>
      </c>
      <c r="EK45" s="110" t="str">
        <f t="shared" si="245"/>
        <v>-</v>
      </c>
      <c r="EL45" s="110" t="str">
        <f t="shared" si="246"/>
        <v>-</v>
      </c>
      <c r="EM45" s="110" t="str">
        <f t="shared" si="247"/>
        <v>-</v>
      </c>
      <c r="EN45" s="110" t="str">
        <f t="shared" si="248"/>
        <v>-</v>
      </c>
      <c r="EO45" s="111" t="str">
        <f t="shared" si="249"/>
        <v>-</v>
      </c>
      <c r="EQ45" s="118">
        <f t="shared" si="250"/>
        <v>42.52</v>
      </c>
      <c r="ER45" s="119" t="str">
        <f t="shared" si="251"/>
        <v>-</v>
      </c>
      <c r="ES45" s="120" t="str">
        <f t="shared" si="252"/>
        <v>-</v>
      </c>
      <c r="ET45" s="90">
        <v>2</v>
      </c>
      <c r="EU45" s="118">
        <f t="shared" si="253"/>
        <v>2</v>
      </c>
      <c r="EV45" s="119" t="str">
        <f t="shared" si="254"/>
        <v>-</v>
      </c>
      <c r="EW45" s="120" t="str">
        <f t="shared" si="255"/>
        <v>-</v>
      </c>
    </row>
    <row r="46" spans="1:153" ht="15.75" thickBot="1" x14ac:dyDescent="0.3">
      <c r="A46" s="44"/>
      <c r="B46" s="171" t="s">
        <v>483</v>
      </c>
      <c r="C46" s="171" t="s">
        <v>484</v>
      </c>
      <c r="D46" s="42">
        <f>VLOOKUP(B46,'BASE DE DATOS'!$B$3:$E$106,2,FALSE)</f>
        <v>34.22</v>
      </c>
      <c r="E46" s="42">
        <f>VLOOKUP(B46,'BASE DE DATOS'!$B$3:$E$106,4,FALSE)</f>
        <v>1.8200000000000003</v>
      </c>
      <c r="F46" s="42">
        <f>VLOOKUP(C46,'BASE DE DATOS'!$B$3:$E$106,2,FALSE)</f>
        <v>34.71</v>
      </c>
      <c r="G46" s="42">
        <f>VLOOKUP(C46,'BASE DE DATOS'!$B$3:$E$106,4,FALSE)</f>
        <v>2.4500000000000028</v>
      </c>
      <c r="H46" s="43">
        <f t="shared" si="135"/>
        <v>2.1350000000000016</v>
      </c>
      <c r="I46" s="171">
        <v>51.11</v>
      </c>
      <c r="J46" s="40">
        <f t="shared" si="132"/>
        <v>51.11</v>
      </c>
      <c r="K46" s="40">
        <f t="shared" si="133"/>
        <v>49.51</v>
      </c>
      <c r="L46" s="40">
        <f t="shared" si="134"/>
        <v>49.91</v>
      </c>
      <c r="M46" s="44">
        <f t="shared" si="124"/>
        <v>200</v>
      </c>
      <c r="N46" s="40">
        <f t="shared" si="125"/>
        <v>51.11</v>
      </c>
      <c r="O46" s="171" t="s">
        <v>120</v>
      </c>
      <c r="P46" s="19">
        <v>187.6</v>
      </c>
      <c r="Q46" s="171" t="s">
        <v>123</v>
      </c>
      <c r="R46" s="171" t="s">
        <v>133</v>
      </c>
      <c r="S46" s="171" t="s">
        <v>148</v>
      </c>
      <c r="T46" s="171" t="s">
        <v>149</v>
      </c>
      <c r="V46" s="51" t="str">
        <f t="shared" si="136"/>
        <v>-</v>
      </c>
      <c r="W46" s="52" t="str">
        <f t="shared" si="137"/>
        <v>-</v>
      </c>
      <c r="X46" s="52" t="str">
        <f t="shared" si="138"/>
        <v>-</v>
      </c>
      <c r="Y46" s="52" t="str">
        <f t="shared" si="139"/>
        <v>-</v>
      </c>
      <c r="Z46" s="52" t="str">
        <f t="shared" si="140"/>
        <v>-</v>
      </c>
      <c r="AA46" s="52" t="str">
        <f t="shared" si="141"/>
        <v>-</v>
      </c>
      <c r="AB46" s="52" t="str">
        <f t="shared" si="142"/>
        <v>-</v>
      </c>
      <c r="AC46" s="52" t="str">
        <f t="shared" si="143"/>
        <v>-</v>
      </c>
      <c r="AD46" s="52" t="str">
        <f t="shared" si="144"/>
        <v>-</v>
      </c>
      <c r="AE46" s="52" t="str">
        <f t="shared" si="145"/>
        <v>-</v>
      </c>
      <c r="AF46" s="52" t="str">
        <f t="shared" si="146"/>
        <v>-</v>
      </c>
      <c r="AG46" s="52" t="str">
        <f t="shared" si="147"/>
        <v>-</v>
      </c>
      <c r="AH46" s="52" t="str">
        <f t="shared" si="148"/>
        <v>-</v>
      </c>
      <c r="AI46" s="52" t="str">
        <f t="shared" si="149"/>
        <v>-</v>
      </c>
      <c r="AJ46" s="52" t="str">
        <f t="shared" si="150"/>
        <v>-</v>
      </c>
      <c r="AK46" s="52" t="str">
        <f t="shared" si="151"/>
        <v>-</v>
      </c>
      <c r="AL46" s="52" t="str">
        <f t="shared" si="152"/>
        <v>-</v>
      </c>
      <c r="AM46" s="53" t="str">
        <f t="shared" si="153"/>
        <v>-</v>
      </c>
      <c r="AN46" s="51" t="str">
        <f t="shared" si="154"/>
        <v>-</v>
      </c>
      <c r="AO46" s="52" t="str">
        <f t="shared" si="155"/>
        <v>-</v>
      </c>
      <c r="AP46" s="52" t="str">
        <f t="shared" si="156"/>
        <v>-</v>
      </c>
      <c r="AQ46" s="52" t="str">
        <f t="shared" si="157"/>
        <v>-</v>
      </c>
      <c r="AR46" s="52" t="str">
        <f t="shared" si="158"/>
        <v>-</v>
      </c>
      <c r="AS46" s="52" t="str">
        <f t="shared" si="159"/>
        <v>-</v>
      </c>
      <c r="AT46" s="52" t="str">
        <f t="shared" si="160"/>
        <v>-</v>
      </c>
      <c r="AU46" s="52" t="str">
        <f t="shared" si="161"/>
        <v>-</v>
      </c>
      <c r="AV46" s="52" t="str">
        <f t="shared" si="162"/>
        <v>-</v>
      </c>
      <c r="AW46" s="52" t="str">
        <f t="shared" si="163"/>
        <v>-</v>
      </c>
      <c r="AX46" s="52" t="str">
        <f t="shared" si="164"/>
        <v>-</v>
      </c>
      <c r="AY46" s="52" t="str">
        <f t="shared" si="165"/>
        <v>-</v>
      </c>
      <c r="AZ46" s="52" t="str">
        <f t="shared" si="166"/>
        <v>-</v>
      </c>
      <c r="BA46" s="52" t="str">
        <f t="shared" si="167"/>
        <v>-</v>
      </c>
      <c r="BB46" s="52" t="str">
        <f t="shared" si="168"/>
        <v>-</v>
      </c>
      <c r="BC46" s="52" t="str">
        <f t="shared" si="169"/>
        <v>-</v>
      </c>
      <c r="BD46" s="52" t="str">
        <f t="shared" si="170"/>
        <v>-</v>
      </c>
      <c r="BE46" s="53" t="str">
        <f t="shared" si="171"/>
        <v>-</v>
      </c>
      <c r="BF46" s="51" t="str">
        <f t="shared" si="172"/>
        <v>-</v>
      </c>
      <c r="BG46" s="52" t="str">
        <f t="shared" si="173"/>
        <v>-</v>
      </c>
      <c r="BH46" s="52" t="str">
        <f t="shared" si="174"/>
        <v>-</v>
      </c>
      <c r="BI46" s="52" t="str">
        <f t="shared" si="175"/>
        <v>-</v>
      </c>
      <c r="BJ46" s="52" t="str">
        <f t="shared" si="176"/>
        <v>-</v>
      </c>
      <c r="BK46" s="52" t="str">
        <f t="shared" si="177"/>
        <v>-</v>
      </c>
      <c r="BL46" s="52" t="str">
        <f t="shared" si="178"/>
        <v>-</v>
      </c>
      <c r="BM46" s="52" t="str">
        <f t="shared" si="179"/>
        <v>-</v>
      </c>
      <c r="BN46" s="52" t="str">
        <f t="shared" si="180"/>
        <v>-</v>
      </c>
      <c r="BO46" s="52">
        <f t="shared" si="181"/>
        <v>49.51</v>
      </c>
      <c r="BP46" s="52" t="str">
        <f t="shared" si="182"/>
        <v>-</v>
      </c>
      <c r="BQ46" s="52" t="str">
        <f t="shared" si="183"/>
        <v>-</v>
      </c>
      <c r="BR46" s="52" t="str">
        <f t="shared" si="184"/>
        <v>-</v>
      </c>
      <c r="BS46" s="52" t="str">
        <f t="shared" si="185"/>
        <v>-</v>
      </c>
      <c r="BT46" s="52" t="str">
        <f t="shared" si="186"/>
        <v>-</v>
      </c>
      <c r="BU46" s="52" t="str">
        <f t="shared" si="187"/>
        <v>-</v>
      </c>
      <c r="BV46" s="52" t="str">
        <f t="shared" si="188"/>
        <v>-</v>
      </c>
      <c r="BW46" s="53" t="str">
        <f t="shared" si="189"/>
        <v>-</v>
      </c>
      <c r="BX46" s="51" t="str">
        <f t="shared" si="190"/>
        <v>-</v>
      </c>
      <c r="BY46" s="52" t="str">
        <f t="shared" si="191"/>
        <v>-</v>
      </c>
      <c r="BZ46" s="52" t="str">
        <f t="shared" si="192"/>
        <v>-</v>
      </c>
      <c r="CA46" s="52" t="str">
        <f t="shared" si="193"/>
        <v>-</v>
      </c>
      <c r="CB46" s="52" t="str">
        <f t="shared" si="194"/>
        <v>-</v>
      </c>
      <c r="CC46" s="52" t="str">
        <f t="shared" si="195"/>
        <v>-</v>
      </c>
      <c r="CD46" s="52" t="str">
        <f t="shared" si="196"/>
        <v>-</v>
      </c>
      <c r="CE46" s="52" t="str">
        <f t="shared" si="197"/>
        <v>-</v>
      </c>
      <c r="CF46" s="52" t="str">
        <f t="shared" si="198"/>
        <v>-</v>
      </c>
      <c r="CG46" s="52" t="str">
        <f t="shared" si="199"/>
        <v>-</v>
      </c>
      <c r="CH46" s="52" t="str">
        <f t="shared" si="200"/>
        <v>-</v>
      </c>
      <c r="CI46" s="52" t="str">
        <f t="shared" si="201"/>
        <v>-</v>
      </c>
      <c r="CJ46" s="52" t="str">
        <f t="shared" si="202"/>
        <v>-</v>
      </c>
      <c r="CK46" s="52" t="str">
        <f t="shared" si="203"/>
        <v>-</v>
      </c>
      <c r="CL46" s="52" t="str">
        <f t="shared" si="204"/>
        <v>-</v>
      </c>
      <c r="CM46" s="52" t="str">
        <f t="shared" si="205"/>
        <v>-</v>
      </c>
      <c r="CN46" s="52" t="str">
        <f t="shared" si="206"/>
        <v>-</v>
      </c>
      <c r="CO46" s="53" t="str">
        <f t="shared" si="207"/>
        <v>-</v>
      </c>
      <c r="CQ46" s="305" t="str">
        <f t="shared" si="126"/>
        <v>-</v>
      </c>
      <c r="CR46" s="305" t="str">
        <f t="shared" si="127"/>
        <v>-</v>
      </c>
      <c r="CS46" s="305" t="str">
        <f t="shared" si="128"/>
        <v>-</v>
      </c>
      <c r="CT46" s="305">
        <f t="shared" si="129"/>
        <v>51.11</v>
      </c>
      <c r="CU46" s="305" t="str">
        <f t="shared" si="130"/>
        <v>-</v>
      </c>
      <c r="CV46" s="305" t="str">
        <f t="shared" si="131"/>
        <v>-</v>
      </c>
      <c r="CX46" s="51" t="str">
        <f t="shared" si="208"/>
        <v>-</v>
      </c>
      <c r="CY46" s="52">
        <f t="shared" si="209"/>
        <v>49.91</v>
      </c>
      <c r="CZ46" s="53" t="str">
        <f t="shared" si="210"/>
        <v>-</v>
      </c>
      <c r="DA46" s="51" t="str">
        <f t="shared" si="211"/>
        <v>-</v>
      </c>
      <c r="DB46" s="52" t="str">
        <f t="shared" si="212"/>
        <v>-</v>
      </c>
      <c r="DC46" s="53" t="str">
        <f t="shared" si="213"/>
        <v>-</v>
      </c>
      <c r="DD46" s="57"/>
      <c r="DE46" s="106" t="str">
        <f t="shared" si="214"/>
        <v>-</v>
      </c>
      <c r="DF46" s="107" t="str">
        <f t="shared" si="215"/>
        <v>-</v>
      </c>
      <c r="DG46" s="107" t="str">
        <f t="shared" si="216"/>
        <v>-</v>
      </c>
      <c r="DH46" s="107" t="str">
        <f t="shared" si="217"/>
        <v>-</v>
      </c>
      <c r="DI46" s="107" t="str">
        <f t="shared" si="218"/>
        <v>-</v>
      </c>
      <c r="DJ46" s="107" t="str">
        <f t="shared" si="219"/>
        <v>-</v>
      </c>
      <c r="DK46" s="107" t="str">
        <f t="shared" si="220"/>
        <v>-</v>
      </c>
      <c r="DL46" s="107" t="str">
        <f t="shared" si="221"/>
        <v>-</v>
      </c>
      <c r="DM46" s="108" t="str">
        <f t="shared" si="222"/>
        <v>-</v>
      </c>
      <c r="DO46" s="106" t="str">
        <f t="shared" si="223"/>
        <v>-</v>
      </c>
      <c r="DP46" s="107" t="str">
        <f t="shared" si="224"/>
        <v>-</v>
      </c>
      <c r="DQ46" s="107" t="str">
        <f t="shared" si="225"/>
        <v>-</v>
      </c>
      <c r="DR46" s="107" t="str">
        <f t="shared" si="226"/>
        <v>-</v>
      </c>
      <c r="DS46" s="107" t="str">
        <f t="shared" si="227"/>
        <v>-</v>
      </c>
      <c r="DT46" s="107" t="str">
        <f t="shared" si="228"/>
        <v>-</v>
      </c>
      <c r="DU46" s="107" t="str">
        <f t="shared" si="229"/>
        <v>-</v>
      </c>
      <c r="DV46" s="107" t="str">
        <f t="shared" si="230"/>
        <v>-</v>
      </c>
      <c r="DW46" s="108" t="str">
        <f t="shared" si="231"/>
        <v>-</v>
      </c>
      <c r="DX46" s="109" t="str">
        <f t="shared" si="232"/>
        <v>-</v>
      </c>
      <c r="DY46" s="110" t="str">
        <f t="shared" si="233"/>
        <v>-</v>
      </c>
      <c r="DZ46" s="110" t="str">
        <f t="shared" si="234"/>
        <v>-</v>
      </c>
      <c r="EA46" s="110">
        <f t="shared" si="235"/>
        <v>51.11</v>
      </c>
      <c r="EB46" s="110" t="str">
        <f t="shared" si="236"/>
        <v>-</v>
      </c>
      <c r="EC46" s="110" t="str">
        <f t="shared" si="237"/>
        <v>-</v>
      </c>
      <c r="ED46" s="110" t="str">
        <f t="shared" si="238"/>
        <v>-</v>
      </c>
      <c r="EE46" s="110" t="str">
        <f t="shared" si="239"/>
        <v>-</v>
      </c>
      <c r="EF46" s="111" t="str">
        <f t="shared" si="240"/>
        <v>-</v>
      </c>
      <c r="EG46" s="109" t="str">
        <f t="shared" si="241"/>
        <v>-</v>
      </c>
      <c r="EH46" s="110" t="str">
        <f t="shared" si="242"/>
        <v>-</v>
      </c>
      <c r="EI46" s="110" t="str">
        <f t="shared" si="243"/>
        <v>-</v>
      </c>
      <c r="EJ46" s="110" t="str">
        <f t="shared" si="244"/>
        <v>-</v>
      </c>
      <c r="EK46" s="110" t="str">
        <f t="shared" si="245"/>
        <v>-</v>
      </c>
      <c r="EL46" s="110" t="str">
        <f t="shared" si="246"/>
        <v>-</v>
      </c>
      <c r="EM46" s="110" t="str">
        <f t="shared" si="247"/>
        <v>-</v>
      </c>
      <c r="EN46" s="110" t="str">
        <f t="shared" si="248"/>
        <v>-</v>
      </c>
      <c r="EO46" s="111" t="str">
        <f t="shared" si="249"/>
        <v>-</v>
      </c>
      <c r="EQ46" s="118">
        <f t="shared" si="250"/>
        <v>49.91</v>
      </c>
      <c r="ER46" s="119" t="str">
        <f t="shared" si="251"/>
        <v>-</v>
      </c>
      <c r="ES46" s="120" t="str">
        <f t="shared" si="252"/>
        <v>-</v>
      </c>
      <c r="ET46" s="90">
        <v>2</v>
      </c>
      <c r="EU46" s="118">
        <f t="shared" si="253"/>
        <v>2</v>
      </c>
      <c r="EV46" s="119" t="str">
        <f t="shared" si="254"/>
        <v>-</v>
      </c>
      <c r="EW46" s="120" t="str">
        <f t="shared" si="255"/>
        <v>-</v>
      </c>
    </row>
    <row r="47" spans="1:153" ht="15.75" thickBot="1" x14ac:dyDescent="0.3">
      <c r="A47" s="41"/>
      <c r="B47" s="171" t="s">
        <v>484</v>
      </c>
      <c r="C47" s="171" t="s">
        <v>485</v>
      </c>
      <c r="D47" s="42">
        <f>VLOOKUP(B47,'BASE DE DATOS'!$B$3:$E$106,2,FALSE)</f>
        <v>34.71</v>
      </c>
      <c r="E47" s="42">
        <f>VLOOKUP(B47,'BASE DE DATOS'!$B$3:$E$106,4,FALSE)</f>
        <v>2.4500000000000028</v>
      </c>
      <c r="F47" s="42">
        <f>VLOOKUP(C47,'BASE DE DATOS'!$B$3:$E$106,2,FALSE)</f>
        <v>34.92</v>
      </c>
      <c r="G47" s="42">
        <f>VLOOKUP(C47,'BASE DE DATOS'!$B$3:$E$106,4,FALSE)</f>
        <v>2.7899999999999991</v>
      </c>
      <c r="H47" s="43">
        <f t="shared" si="135"/>
        <v>2.620000000000001</v>
      </c>
      <c r="I47" s="171">
        <v>46.89</v>
      </c>
      <c r="J47" s="44">
        <f t="shared" si="132"/>
        <v>46.89</v>
      </c>
      <c r="K47" s="40">
        <f t="shared" si="133"/>
        <v>45.29</v>
      </c>
      <c r="L47" s="40">
        <f t="shared" si="134"/>
        <v>45.69</v>
      </c>
      <c r="M47" s="44">
        <f t="shared" si="124"/>
        <v>250</v>
      </c>
      <c r="N47" s="40">
        <f t="shared" si="125"/>
        <v>46.89</v>
      </c>
      <c r="O47" s="171" t="s">
        <v>120</v>
      </c>
      <c r="P47" s="19">
        <v>234.6</v>
      </c>
      <c r="Q47" s="171" t="s">
        <v>123</v>
      </c>
      <c r="R47" s="171" t="s">
        <v>133</v>
      </c>
      <c r="S47" s="171" t="s">
        <v>148</v>
      </c>
      <c r="T47" s="171" t="s">
        <v>149</v>
      </c>
      <c r="V47" s="51" t="str">
        <f t="shared" si="136"/>
        <v>-</v>
      </c>
      <c r="W47" s="52" t="str">
        <f t="shared" si="137"/>
        <v>-</v>
      </c>
      <c r="X47" s="52" t="str">
        <f t="shared" si="138"/>
        <v>-</v>
      </c>
      <c r="Y47" s="52" t="str">
        <f t="shared" si="139"/>
        <v>-</v>
      </c>
      <c r="Z47" s="52" t="str">
        <f t="shared" si="140"/>
        <v>-</v>
      </c>
      <c r="AA47" s="52" t="str">
        <f t="shared" si="141"/>
        <v>-</v>
      </c>
      <c r="AB47" s="52" t="str">
        <f t="shared" si="142"/>
        <v>-</v>
      </c>
      <c r="AC47" s="52" t="str">
        <f t="shared" si="143"/>
        <v>-</v>
      </c>
      <c r="AD47" s="52" t="str">
        <f t="shared" si="144"/>
        <v>-</v>
      </c>
      <c r="AE47" s="52" t="str">
        <f t="shared" si="145"/>
        <v>-</v>
      </c>
      <c r="AF47" s="52" t="str">
        <f t="shared" si="146"/>
        <v>-</v>
      </c>
      <c r="AG47" s="52" t="str">
        <f t="shared" si="147"/>
        <v>-</v>
      </c>
      <c r="AH47" s="52" t="str">
        <f t="shared" si="148"/>
        <v>-</v>
      </c>
      <c r="AI47" s="52" t="str">
        <f t="shared" si="149"/>
        <v>-</v>
      </c>
      <c r="AJ47" s="52" t="str">
        <f t="shared" si="150"/>
        <v>-</v>
      </c>
      <c r="AK47" s="52" t="str">
        <f t="shared" si="151"/>
        <v>-</v>
      </c>
      <c r="AL47" s="52" t="str">
        <f t="shared" si="152"/>
        <v>-</v>
      </c>
      <c r="AM47" s="53" t="str">
        <f t="shared" si="153"/>
        <v>-</v>
      </c>
      <c r="AN47" s="51" t="str">
        <f t="shared" si="154"/>
        <v>-</v>
      </c>
      <c r="AO47" s="52" t="str">
        <f t="shared" si="155"/>
        <v>-</v>
      </c>
      <c r="AP47" s="52" t="str">
        <f t="shared" si="156"/>
        <v>-</v>
      </c>
      <c r="AQ47" s="52" t="str">
        <f t="shared" si="157"/>
        <v>-</v>
      </c>
      <c r="AR47" s="52" t="str">
        <f t="shared" si="158"/>
        <v>-</v>
      </c>
      <c r="AS47" s="52" t="str">
        <f t="shared" si="159"/>
        <v>-</v>
      </c>
      <c r="AT47" s="52" t="str">
        <f t="shared" si="160"/>
        <v>-</v>
      </c>
      <c r="AU47" s="52" t="str">
        <f t="shared" si="161"/>
        <v>-</v>
      </c>
      <c r="AV47" s="52" t="str">
        <f t="shared" si="162"/>
        <v>-</v>
      </c>
      <c r="AW47" s="52" t="str">
        <f t="shared" si="163"/>
        <v>-</v>
      </c>
      <c r="AX47" s="52" t="str">
        <f t="shared" si="164"/>
        <v>-</v>
      </c>
      <c r="AY47" s="52" t="str">
        <f t="shared" si="165"/>
        <v>-</v>
      </c>
      <c r="AZ47" s="52" t="str">
        <f t="shared" si="166"/>
        <v>-</v>
      </c>
      <c r="BA47" s="52" t="str">
        <f t="shared" si="167"/>
        <v>-</v>
      </c>
      <c r="BB47" s="52" t="str">
        <f t="shared" si="168"/>
        <v>-</v>
      </c>
      <c r="BC47" s="52" t="str">
        <f t="shared" si="169"/>
        <v>-</v>
      </c>
      <c r="BD47" s="52" t="str">
        <f t="shared" si="170"/>
        <v>-</v>
      </c>
      <c r="BE47" s="53" t="str">
        <f t="shared" si="171"/>
        <v>-</v>
      </c>
      <c r="BF47" s="51" t="str">
        <f t="shared" si="172"/>
        <v>-</v>
      </c>
      <c r="BG47" s="52" t="str">
        <f t="shared" si="173"/>
        <v>-</v>
      </c>
      <c r="BH47" s="52" t="str">
        <f t="shared" si="174"/>
        <v>-</v>
      </c>
      <c r="BI47" s="52" t="str">
        <f t="shared" si="175"/>
        <v>-</v>
      </c>
      <c r="BJ47" s="52" t="str">
        <f t="shared" si="176"/>
        <v>-</v>
      </c>
      <c r="BK47" s="52" t="str">
        <f t="shared" si="177"/>
        <v>-</v>
      </c>
      <c r="BL47" s="52" t="str">
        <f t="shared" si="178"/>
        <v>-</v>
      </c>
      <c r="BM47" s="52" t="str">
        <f t="shared" si="179"/>
        <v>-</v>
      </c>
      <c r="BN47" s="52" t="str">
        <f t="shared" si="180"/>
        <v>-</v>
      </c>
      <c r="BO47" s="52" t="str">
        <f t="shared" si="181"/>
        <v>-</v>
      </c>
      <c r="BP47" s="52" t="str">
        <f t="shared" si="182"/>
        <v>-</v>
      </c>
      <c r="BQ47" s="52">
        <f t="shared" si="183"/>
        <v>45.29</v>
      </c>
      <c r="BR47" s="52" t="str">
        <f t="shared" si="184"/>
        <v>-</v>
      </c>
      <c r="BS47" s="52" t="str">
        <f t="shared" si="185"/>
        <v>-</v>
      </c>
      <c r="BT47" s="52" t="str">
        <f t="shared" si="186"/>
        <v>-</v>
      </c>
      <c r="BU47" s="52" t="str">
        <f t="shared" si="187"/>
        <v>-</v>
      </c>
      <c r="BV47" s="52" t="str">
        <f t="shared" si="188"/>
        <v>-</v>
      </c>
      <c r="BW47" s="53" t="str">
        <f t="shared" si="189"/>
        <v>-</v>
      </c>
      <c r="BX47" s="51" t="str">
        <f t="shared" si="190"/>
        <v>-</v>
      </c>
      <c r="BY47" s="52" t="str">
        <f t="shared" si="191"/>
        <v>-</v>
      </c>
      <c r="BZ47" s="52" t="str">
        <f t="shared" si="192"/>
        <v>-</v>
      </c>
      <c r="CA47" s="52" t="str">
        <f t="shared" si="193"/>
        <v>-</v>
      </c>
      <c r="CB47" s="52" t="str">
        <f t="shared" si="194"/>
        <v>-</v>
      </c>
      <c r="CC47" s="52" t="str">
        <f t="shared" si="195"/>
        <v>-</v>
      </c>
      <c r="CD47" s="52" t="str">
        <f t="shared" si="196"/>
        <v>-</v>
      </c>
      <c r="CE47" s="52" t="str">
        <f t="shared" si="197"/>
        <v>-</v>
      </c>
      <c r="CF47" s="52" t="str">
        <f t="shared" si="198"/>
        <v>-</v>
      </c>
      <c r="CG47" s="52" t="str">
        <f t="shared" si="199"/>
        <v>-</v>
      </c>
      <c r="CH47" s="52" t="str">
        <f t="shared" si="200"/>
        <v>-</v>
      </c>
      <c r="CI47" s="52" t="str">
        <f t="shared" si="201"/>
        <v>-</v>
      </c>
      <c r="CJ47" s="52" t="str">
        <f t="shared" si="202"/>
        <v>-</v>
      </c>
      <c r="CK47" s="52" t="str">
        <f t="shared" si="203"/>
        <v>-</v>
      </c>
      <c r="CL47" s="52" t="str">
        <f t="shared" si="204"/>
        <v>-</v>
      </c>
      <c r="CM47" s="52" t="str">
        <f t="shared" si="205"/>
        <v>-</v>
      </c>
      <c r="CN47" s="52" t="str">
        <f t="shared" si="206"/>
        <v>-</v>
      </c>
      <c r="CO47" s="53" t="str">
        <f t="shared" si="207"/>
        <v>-</v>
      </c>
      <c r="CQ47" s="305" t="str">
        <f t="shared" si="126"/>
        <v>-</v>
      </c>
      <c r="CR47" s="305" t="str">
        <f t="shared" si="127"/>
        <v>-</v>
      </c>
      <c r="CS47" s="305" t="str">
        <f t="shared" si="128"/>
        <v>-</v>
      </c>
      <c r="CT47" s="305">
        <f t="shared" si="129"/>
        <v>46.89</v>
      </c>
      <c r="CU47" s="305" t="str">
        <f t="shared" si="130"/>
        <v>-</v>
      </c>
      <c r="CV47" s="305" t="str">
        <f t="shared" si="131"/>
        <v>-</v>
      </c>
      <c r="CX47" s="51" t="str">
        <f t="shared" si="208"/>
        <v>-</v>
      </c>
      <c r="CY47" s="52">
        <f t="shared" si="209"/>
        <v>45.69</v>
      </c>
      <c r="CZ47" s="53" t="str">
        <f t="shared" si="210"/>
        <v>-</v>
      </c>
      <c r="DA47" s="51" t="str">
        <f t="shared" si="211"/>
        <v>-</v>
      </c>
      <c r="DB47" s="52" t="str">
        <f t="shared" si="212"/>
        <v>-</v>
      </c>
      <c r="DC47" s="53" t="str">
        <f t="shared" si="213"/>
        <v>-</v>
      </c>
      <c r="DD47" s="57"/>
      <c r="DE47" s="106" t="str">
        <f t="shared" si="214"/>
        <v>-</v>
      </c>
      <c r="DF47" s="107" t="str">
        <f t="shared" si="215"/>
        <v>-</v>
      </c>
      <c r="DG47" s="107" t="str">
        <f t="shared" si="216"/>
        <v>-</v>
      </c>
      <c r="DH47" s="107" t="str">
        <f t="shared" si="217"/>
        <v>-</v>
      </c>
      <c r="DI47" s="107" t="str">
        <f t="shared" si="218"/>
        <v>-</v>
      </c>
      <c r="DJ47" s="107" t="str">
        <f t="shared" si="219"/>
        <v>-</v>
      </c>
      <c r="DK47" s="107" t="str">
        <f t="shared" si="220"/>
        <v>-</v>
      </c>
      <c r="DL47" s="107" t="str">
        <f t="shared" si="221"/>
        <v>-</v>
      </c>
      <c r="DM47" s="108" t="str">
        <f t="shared" si="222"/>
        <v>-</v>
      </c>
      <c r="DO47" s="106" t="str">
        <f t="shared" si="223"/>
        <v>-</v>
      </c>
      <c r="DP47" s="107" t="str">
        <f t="shared" si="224"/>
        <v>-</v>
      </c>
      <c r="DQ47" s="107" t="str">
        <f t="shared" si="225"/>
        <v>-</v>
      </c>
      <c r="DR47" s="107" t="str">
        <f t="shared" si="226"/>
        <v>-</v>
      </c>
      <c r="DS47" s="107" t="str">
        <f t="shared" si="227"/>
        <v>-</v>
      </c>
      <c r="DT47" s="107" t="str">
        <f t="shared" si="228"/>
        <v>-</v>
      </c>
      <c r="DU47" s="107" t="str">
        <f t="shared" si="229"/>
        <v>-</v>
      </c>
      <c r="DV47" s="107" t="str">
        <f t="shared" si="230"/>
        <v>-</v>
      </c>
      <c r="DW47" s="108" t="str">
        <f t="shared" si="231"/>
        <v>-</v>
      </c>
      <c r="DX47" s="109" t="str">
        <f t="shared" si="232"/>
        <v>-</v>
      </c>
      <c r="DY47" s="110" t="str">
        <f t="shared" si="233"/>
        <v>-</v>
      </c>
      <c r="DZ47" s="110" t="str">
        <f t="shared" si="234"/>
        <v>-</v>
      </c>
      <c r="EA47" s="110" t="str">
        <f t="shared" si="235"/>
        <v>-</v>
      </c>
      <c r="EB47" s="110">
        <f t="shared" si="236"/>
        <v>46.89</v>
      </c>
      <c r="EC47" s="110" t="str">
        <f t="shared" si="237"/>
        <v>-</v>
      </c>
      <c r="ED47" s="110" t="str">
        <f t="shared" si="238"/>
        <v>-</v>
      </c>
      <c r="EE47" s="110" t="str">
        <f t="shared" si="239"/>
        <v>-</v>
      </c>
      <c r="EF47" s="111" t="str">
        <f t="shared" si="240"/>
        <v>-</v>
      </c>
      <c r="EG47" s="109" t="str">
        <f t="shared" si="241"/>
        <v>-</v>
      </c>
      <c r="EH47" s="110" t="str">
        <f t="shared" si="242"/>
        <v>-</v>
      </c>
      <c r="EI47" s="110" t="str">
        <f t="shared" si="243"/>
        <v>-</v>
      </c>
      <c r="EJ47" s="110" t="str">
        <f t="shared" si="244"/>
        <v>-</v>
      </c>
      <c r="EK47" s="110" t="str">
        <f t="shared" si="245"/>
        <v>-</v>
      </c>
      <c r="EL47" s="110" t="str">
        <f t="shared" si="246"/>
        <v>-</v>
      </c>
      <c r="EM47" s="110" t="str">
        <f t="shared" si="247"/>
        <v>-</v>
      </c>
      <c r="EN47" s="110" t="str">
        <f t="shared" si="248"/>
        <v>-</v>
      </c>
      <c r="EO47" s="111" t="str">
        <f t="shared" si="249"/>
        <v>-</v>
      </c>
      <c r="EQ47" s="118" t="str">
        <f t="shared" si="250"/>
        <v>-</v>
      </c>
      <c r="ER47" s="119">
        <f t="shared" si="251"/>
        <v>45.69</v>
      </c>
      <c r="ES47" s="120" t="str">
        <f t="shared" si="252"/>
        <v>-</v>
      </c>
      <c r="ET47" s="90">
        <v>2</v>
      </c>
      <c r="EU47" s="118" t="str">
        <f t="shared" si="253"/>
        <v>-</v>
      </c>
      <c r="EV47" s="119">
        <f t="shared" si="254"/>
        <v>2</v>
      </c>
      <c r="EW47" s="120" t="str">
        <f t="shared" si="255"/>
        <v>-</v>
      </c>
    </row>
    <row r="48" spans="1:153" ht="15.75" thickBot="1" x14ac:dyDescent="0.3">
      <c r="A48" s="41"/>
      <c r="B48" s="171" t="s">
        <v>485</v>
      </c>
      <c r="C48" s="171" t="s">
        <v>487</v>
      </c>
      <c r="D48" s="42">
        <f>VLOOKUP(B48,'BASE DE DATOS'!$B$3:$E$106,2,FALSE)</f>
        <v>34.92</v>
      </c>
      <c r="E48" s="42">
        <f>VLOOKUP(B48,'BASE DE DATOS'!$B$3:$E$106,4,FALSE)</f>
        <v>2.7899999999999991</v>
      </c>
      <c r="F48" s="42">
        <f>VLOOKUP(C48,'BASE DE DATOS'!$B$3:$E$106,2,FALSE)</f>
        <v>34.42</v>
      </c>
      <c r="G48" s="42">
        <f>VLOOKUP(C48,'BASE DE DATOS'!$B$3:$E$106,4,FALSE)</f>
        <v>2.4100000000000037</v>
      </c>
      <c r="H48" s="43">
        <f t="shared" si="135"/>
        <v>2.6000000000000014</v>
      </c>
      <c r="I48" s="171">
        <v>45.8</v>
      </c>
      <c r="J48" s="44">
        <f t="shared" si="132"/>
        <v>45.8</v>
      </c>
      <c r="K48" s="40">
        <f t="shared" si="133"/>
        <v>44.2</v>
      </c>
      <c r="L48" s="40">
        <f t="shared" si="134"/>
        <v>44.6</v>
      </c>
      <c r="M48" s="40">
        <f t="shared" si="124"/>
        <v>250</v>
      </c>
      <c r="N48" s="40">
        <f t="shared" si="125"/>
        <v>45.8</v>
      </c>
      <c r="O48" s="171" t="s">
        <v>120</v>
      </c>
      <c r="P48" s="19">
        <v>234.6</v>
      </c>
      <c r="Q48" s="171" t="s">
        <v>123</v>
      </c>
      <c r="R48" s="171" t="s">
        <v>133</v>
      </c>
      <c r="S48" s="171" t="s">
        <v>148</v>
      </c>
      <c r="T48" s="171" t="s">
        <v>149</v>
      </c>
      <c r="V48" s="51" t="str">
        <f t="shared" si="136"/>
        <v>-</v>
      </c>
      <c r="W48" s="52" t="str">
        <f t="shared" si="137"/>
        <v>-</v>
      </c>
      <c r="X48" s="52" t="str">
        <f t="shared" si="138"/>
        <v>-</v>
      </c>
      <c r="Y48" s="52" t="str">
        <f t="shared" si="139"/>
        <v>-</v>
      </c>
      <c r="Z48" s="52" t="str">
        <f t="shared" si="140"/>
        <v>-</v>
      </c>
      <c r="AA48" s="52" t="str">
        <f t="shared" si="141"/>
        <v>-</v>
      </c>
      <c r="AB48" s="52" t="str">
        <f t="shared" si="142"/>
        <v>-</v>
      </c>
      <c r="AC48" s="52" t="str">
        <f t="shared" si="143"/>
        <v>-</v>
      </c>
      <c r="AD48" s="52" t="str">
        <f t="shared" si="144"/>
        <v>-</v>
      </c>
      <c r="AE48" s="52" t="str">
        <f t="shared" si="145"/>
        <v>-</v>
      </c>
      <c r="AF48" s="52" t="str">
        <f t="shared" si="146"/>
        <v>-</v>
      </c>
      <c r="AG48" s="52" t="str">
        <f t="shared" si="147"/>
        <v>-</v>
      </c>
      <c r="AH48" s="52" t="str">
        <f t="shared" si="148"/>
        <v>-</v>
      </c>
      <c r="AI48" s="52" t="str">
        <f t="shared" si="149"/>
        <v>-</v>
      </c>
      <c r="AJ48" s="52" t="str">
        <f t="shared" si="150"/>
        <v>-</v>
      </c>
      <c r="AK48" s="52" t="str">
        <f t="shared" si="151"/>
        <v>-</v>
      </c>
      <c r="AL48" s="52" t="str">
        <f t="shared" si="152"/>
        <v>-</v>
      </c>
      <c r="AM48" s="53" t="str">
        <f t="shared" si="153"/>
        <v>-</v>
      </c>
      <c r="AN48" s="51" t="str">
        <f t="shared" si="154"/>
        <v>-</v>
      </c>
      <c r="AO48" s="52" t="str">
        <f t="shared" si="155"/>
        <v>-</v>
      </c>
      <c r="AP48" s="52" t="str">
        <f t="shared" si="156"/>
        <v>-</v>
      </c>
      <c r="AQ48" s="52" t="str">
        <f t="shared" si="157"/>
        <v>-</v>
      </c>
      <c r="AR48" s="52" t="str">
        <f t="shared" si="158"/>
        <v>-</v>
      </c>
      <c r="AS48" s="52" t="str">
        <f t="shared" si="159"/>
        <v>-</v>
      </c>
      <c r="AT48" s="52" t="str">
        <f t="shared" si="160"/>
        <v>-</v>
      </c>
      <c r="AU48" s="52" t="str">
        <f t="shared" si="161"/>
        <v>-</v>
      </c>
      <c r="AV48" s="52" t="str">
        <f t="shared" si="162"/>
        <v>-</v>
      </c>
      <c r="AW48" s="52" t="str">
        <f t="shared" si="163"/>
        <v>-</v>
      </c>
      <c r="AX48" s="52" t="str">
        <f t="shared" si="164"/>
        <v>-</v>
      </c>
      <c r="AY48" s="52" t="str">
        <f t="shared" si="165"/>
        <v>-</v>
      </c>
      <c r="AZ48" s="52" t="str">
        <f t="shared" si="166"/>
        <v>-</v>
      </c>
      <c r="BA48" s="52" t="str">
        <f t="shared" si="167"/>
        <v>-</v>
      </c>
      <c r="BB48" s="52" t="str">
        <f t="shared" si="168"/>
        <v>-</v>
      </c>
      <c r="BC48" s="52" t="str">
        <f t="shared" si="169"/>
        <v>-</v>
      </c>
      <c r="BD48" s="52" t="str">
        <f t="shared" si="170"/>
        <v>-</v>
      </c>
      <c r="BE48" s="53" t="str">
        <f t="shared" si="171"/>
        <v>-</v>
      </c>
      <c r="BF48" s="51" t="str">
        <f t="shared" si="172"/>
        <v>-</v>
      </c>
      <c r="BG48" s="52" t="str">
        <f t="shared" si="173"/>
        <v>-</v>
      </c>
      <c r="BH48" s="52" t="str">
        <f t="shared" si="174"/>
        <v>-</v>
      </c>
      <c r="BI48" s="52" t="str">
        <f t="shared" si="175"/>
        <v>-</v>
      </c>
      <c r="BJ48" s="52" t="str">
        <f t="shared" si="176"/>
        <v>-</v>
      </c>
      <c r="BK48" s="52" t="str">
        <f t="shared" si="177"/>
        <v>-</v>
      </c>
      <c r="BL48" s="52" t="str">
        <f t="shared" si="178"/>
        <v>-</v>
      </c>
      <c r="BM48" s="52" t="str">
        <f t="shared" si="179"/>
        <v>-</v>
      </c>
      <c r="BN48" s="52" t="str">
        <f t="shared" si="180"/>
        <v>-</v>
      </c>
      <c r="BO48" s="52" t="str">
        <f t="shared" si="181"/>
        <v>-</v>
      </c>
      <c r="BP48" s="52" t="str">
        <f t="shared" si="182"/>
        <v>-</v>
      </c>
      <c r="BQ48" s="52">
        <f t="shared" si="183"/>
        <v>44.2</v>
      </c>
      <c r="BR48" s="52" t="str">
        <f t="shared" si="184"/>
        <v>-</v>
      </c>
      <c r="BS48" s="52" t="str">
        <f t="shared" si="185"/>
        <v>-</v>
      </c>
      <c r="BT48" s="52" t="str">
        <f t="shared" si="186"/>
        <v>-</v>
      </c>
      <c r="BU48" s="52" t="str">
        <f t="shared" si="187"/>
        <v>-</v>
      </c>
      <c r="BV48" s="52" t="str">
        <f t="shared" si="188"/>
        <v>-</v>
      </c>
      <c r="BW48" s="53" t="str">
        <f t="shared" si="189"/>
        <v>-</v>
      </c>
      <c r="BX48" s="51" t="str">
        <f t="shared" si="190"/>
        <v>-</v>
      </c>
      <c r="BY48" s="52" t="str">
        <f t="shared" si="191"/>
        <v>-</v>
      </c>
      <c r="BZ48" s="52" t="str">
        <f t="shared" si="192"/>
        <v>-</v>
      </c>
      <c r="CA48" s="52" t="str">
        <f t="shared" si="193"/>
        <v>-</v>
      </c>
      <c r="CB48" s="52" t="str">
        <f t="shared" si="194"/>
        <v>-</v>
      </c>
      <c r="CC48" s="52" t="str">
        <f t="shared" si="195"/>
        <v>-</v>
      </c>
      <c r="CD48" s="52" t="str">
        <f t="shared" si="196"/>
        <v>-</v>
      </c>
      <c r="CE48" s="52" t="str">
        <f t="shared" si="197"/>
        <v>-</v>
      </c>
      <c r="CF48" s="52" t="str">
        <f t="shared" si="198"/>
        <v>-</v>
      </c>
      <c r="CG48" s="52" t="str">
        <f t="shared" si="199"/>
        <v>-</v>
      </c>
      <c r="CH48" s="52" t="str">
        <f t="shared" si="200"/>
        <v>-</v>
      </c>
      <c r="CI48" s="52" t="str">
        <f t="shared" si="201"/>
        <v>-</v>
      </c>
      <c r="CJ48" s="52" t="str">
        <f t="shared" si="202"/>
        <v>-</v>
      </c>
      <c r="CK48" s="52" t="str">
        <f t="shared" si="203"/>
        <v>-</v>
      </c>
      <c r="CL48" s="52" t="str">
        <f t="shared" si="204"/>
        <v>-</v>
      </c>
      <c r="CM48" s="52" t="str">
        <f t="shared" si="205"/>
        <v>-</v>
      </c>
      <c r="CN48" s="52" t="str">
        <f t="shared" si="206"/>
        <v>-</v>
      </c>
      <c r="CO48" s="53" t="str">
        <f t="shared" si="207"/>
        <v>-</v>
      </c>
      <c r="CQ48" s="305" t="str">
        <f t="shared" si="126"/>
        <v>-</v>
      </c>
      <c r="CR48" s="305" t="str">
        <f t="shared" si="127"/>
        <v>-</v>
      </c>
      <c r="CS48" s="305" t="str">
        <f t="shared" si="128"/>
        <v>-</v>
      </c>
      <c r="CT48" s="305">
        <f t="shared" si="129"/>
        <v>45.8</v>
      </c>
      <c r="CU48" s="305" t="str">
        <f t="shared" si="130"/>
        <v>-</v>
      </c>
      <c r="CV48" s="305" t="str">
        <f t="shared" si="131"/>
        <v>-</v>
      </c>
      <c r="CX48" s="51" t="str">
        <f t="shared" si="208"/>
        <v>-</v>
      </c>
      <c r="CY48" s="52">
        <f t="shared" si="209"/>
        <v>44.6</v>
      </c>
      <c r="CZ48" s="53" t="str">
        <f t="shared" si="210"/>
        <v>-</v>
      </c>
      <c r="DA48" s="51" t="str">
        <f t="shared" si="211"/>
        <v>-</v>
      </c>
      <c r="DB48" s="52" t="str">
        <f t="shared" si="212"/>
        <v>-</v>
      </c>
      <c r="DC48" s="53" t="str">
        <f t="shared" si="213"/>
        <v>-</v>
      </c>
      <c r="DD48" s="57"/>
      <c r="DE48" s="106" t="str">
        <f t="shared" si="214"/>
        <v>-</v>
      </c>
      <c r="DF48" s="107" t="str">
        <f t="shared" si="215"/>
        <v>-</v>
      </c>
      <c r="DG48" s="107" t="str">
        <f t="shared" si="216"/>
        <v>-</v>
      </c>
      <c r="DH48" s="107" t="str">
        <f t="shared" si="217"/>
        <v>-</v>
      </c>
      <c r="DI48" s="107" t="str">
        <f t="shared" si="218"/>
        <v>-</v>
      </c>
      <c r="DJ48" s="107" t="str">
        <f t="shared" si="219"/>
        <v>-</v>
      </c>
      <c r="DK48" s="107" t="str">
        <f t="shared" si="220"/>
        <v>-</v>
      </c>
      <c r="DL48" s="107" t="str">
        <f t="shared" si="221"/>
        <v>-</v>
      </c>
      <c r="DM48" s="108" t="str">
        <f t="shared" si="222"/>
        <v>-</v>
      </c>
      <c r="DO48" s="106" t="str">
        <f t="shared" si="223"/>
        <v>-</v>
      </c>
      <c r="DP48" s="107" t="str">
        <f t="shared" si="224"/>
        <v>-</v>
      </c>
      <c r="DQ48" s="107" t="str">
        <f t="shared" si="225"/>
        <v>-</v>
      </c>
      <c r="DR48" s="107" t="str">
        <f t="shared" si="226"/>
        <v>-</v>
      </c>
      <c r="DS48" s="107" t="str">
        <f t="shared" si="227"/>
        <v>-</v>
      </c>
      <c r="DT48" s="107" t="str">
        <f t="shared" si="228"/>
        <v>-</v>
      </c>
      <c r="DU48" s="107" t="str">
        <f t="shared" si="229"/>
        <v>-</v>
      </c>
      <c r="DV48" s="107" t="str">
        <f t="shared" si="230"/>
        <v>-</v>
      </c>
      <c r="DW48" s="108" t="str">
        <f t="shared" si="231"/>
        <v>-</v>
      </c>
      <c r="DX48" s="109" t="str">
        <f t="shared" si="232"/>
        <v>-</v>
      </c>
      <c r="DY48" s="110" t="str">
        <f t="shared" si="233"/>
        <v>-</v>
      </c>
      <c r="DZ48" s="110" t="str">
        <f t="shared" si="234"/>
        <v>-</v>
      </c>
      <c r="EA48" s="110" t="str">
        <f t="shared" si="235"/>
        <v>-</v>
      </c>
      <c r="EB48" s="110">
        <f t="shared" si="236"/>
        <v>45.8</v>
      </c>
      <c r="EC48" s="110" t="str">
        <f t="shared" si="237"/>
        <v>-</v>
      </c>
      <c r="ED48" s="110" t="str">
        <f t="shared" si="238"/>
        <v>-</v>
      </c>
      <c r="EE48" s="110" t="str">
        <f t="shared" si="239"/>
        <v>-</v>
      </c>
      <c r="EF48" s="111" t="str">
        <f t="shared" si="240"/>
        <v>-</v>
      </c>
      <c r="EG48" s="109" t="str">
        <f t="shared" si="241"/>
        <v>-</v>
      </c>
      <c r="EH48" s="110" t="str">
        <f t="shared" si="242"/>
        <v>-</v>
      </c>
      <c r="EI48" s="110" t="str">
        <f t="shared" si="243"/>
        <v>-</v>
      </c>
      <c r="EJ48" s="110" t="str">
        <f t="shared" si="244"/>
        <v>-</v>
      </c>
      <c r="EK48" s="110" t="str">
        <f t="shared" si="245"/>
        <v>-</v>
      </c>
      <c r="EL48" s="110" t="str">
        <f t="shared" si="246"/>
        <v>-</v>
      </c>
      <c r="EM48" s="110" t="str">
        <f t="shared" si="247"/>
        <v>-</v>
      </c>
      <c r="EN48" s="110" t="str">
        <f t="shared" si="248"/>
        <v>-</v>
      </c>
      <c r="EO48" s="111" t="str">
        <f t="shared" si="249"/>
        <v>-</v>
      </c>
      <c r="EQ48" s="118" t="str">
        <f t="shared" si="250"/>
        <v>-</v>
      </c>
      <c r="ER48" s="119">
        <f t="shared" si="251"/>
        <v>44.6</v>
      </c>
      <c r="ES48" s="120" t="str">
        <f t="shared" si="252"/>
        <v>-</v>
      </c>
      <c r="ET48" s="90">
        <v>2</v>
      </c>
      <c r="EU48" s="118" t="str">
        <f t="shared" si="253"/>
        <v>-</v>
      </c>
      <c r="EV48" s="119">
        <f t="shared" si="254"/>
        <v>2</v>
      </c>
      <c r="EW48" s="120" t="str">
        <f t="shared" si="255"/>
        <v>-</v>
      </c>
    </row>
    <row r="49" spans="1:153" ht="15.75" thickBot="1" x14ac:dyDescent="0.3">
      <c r="A49" s="41"/>
      <c r="B49" s="171" t="s">
        <v>486</v>
      </c>
      <c r="C49" s="171" t="s">
        <v>487</v>
      </c>
      <c r="D49" s="42">
        <f>VLOOKUP(B49,'BASE DE DATOS'!$B$3:$E$106,2,FALSE)</f>
        <v>34.950000000000003</v>
      </c>
      <c r="E49" s="42">
        <f>VLOOKUP(B49,'BASE DE DATOS'!$B$3:$E$106,4,FALSE)</f>
        <v>1.240000000000002</v>
      </c>
      <c r="F49" s="42">
        <f>VLOOKUP(C49,'BASE DE DATOS'!$B$3:$E$106,2,FALSE)</f>
        <v>34.42</v>
      </c>
      <c r="G49" s="42">
        <f>VLOOKUP(C49,'BASE DE DATOS'!$B$3:$E$106,4,FALSE)</f>
        <v>2.4100000000000037</v>
      </c>
      <c r="H49" s="43">
        <f t="shared" si="135"/>
        <v>1.8250000000000028</v>
      </c>
      <c r="I49" s="171">
        <v>38.5</v>
      </c>
      <c r="J49" s="44">
        <f t="shared" si="132"/>
        <v>38.520000000000003</v>
      </c>
      <c r="K49" s="40">
        <f t="shared" si="133"/>
        <v>36.94</v>
      </c>
      <c r="L49" s="40">
        <f t="shared" si="134"/>
        <v>37.340000000000003</v>
      </c>
      <c r="M49" s="44">
        <f t="shared" si="124"/>
        <v>200</v>
      </c>
      <c r="N49" s="40">
        <f t="shared" si="125"/>
        <v>38.5</v>
      </c>
      <c r="O49" s="171" t="s">
        <v>120</v>
      </c>
      <c r="P49" s="19">
        <v>187.6</v>
      </c>
      <c r="Q49" s="171" t="s">
        <v>122</v>
      </c>
      <c r="R49" s="171" t="s">
        <v>133</v>
      </c>
      <c r="S49" s="171" t="s">
        <v>147</v>
      </c>
      <c r="T49" s="171" t="s">
        <v>146</v>
      </c>
      <c r="V49" s="51" t="str">
        <f t="shared" si="136"/>
        <v>-</v>
      </c>
      <c r="W49" s="52" t="str">
        <f t="shared" si="137"/>
        <v>-</v>
      </c>
      <c r="X49" s="52" t="str">
        <f t="shared" si="138"/>
        <v>-</v>
      </c>
      <c r="Y49" s="52" t="str">
        <f t="shared" si="139"/>
        <v>-</v>
      </c>
      <c r="Z49" s="52" t="str">
        <f t="shared" si="140"/>
        <v>-</v>
      </c>
      <c r="AA49" s="52" t="str">
        <f t="shared" si="141"/>
        <v>-</v>
      </c>
      <c r="AB49" s="52">
        <f t="shared" si="142"/>
        <v>36.94</v>
      </c>
      <c r="AC49" s="52" t="str">
        <f t="shared" si="143"/>
        <v>-</v>
      </c>
      <c r="AD49" s="52" t="str">
        <f t="shared" si="144"/>
        <v>-</v>
      </c>
      <c r="AE49" s="52" t="str">
        <f t="shared" si="145"/>
        <v>-</v>
      </c>
      <c r="AF49" s="52" t="str">
        <f t="shared" si="146"/>
        <v>-</v>
      </c>
      <c r="AG49" s="52" t="str">
        <f t="shared" si="147"/>
        <v>-</v>
      </c>
      <c r="AH49" s="52" t="str">
        <f t="shared" si="148"/>
        <v>-</v>
      </c>
      <c r="AI49" s="52" t="str">
        <f t="shared" si="149"/>
        <v>-</v>
      </c>
      <c r="AJ49" s="52" t="str">
        <f t="shared" si="150"/>
        <v>-</v>
      </c>
      <c r="AK49" s="52" t="str">
        <f t="shared" si="151"/>
        <v>-</v>
      </c>
      <c r="AL49" s="52" t="str">
        <f t="shared" si="152"/>
        <v>-</v>
      </c>
      <c r="AM49" s="53" t="str">
        <f t="shared" si="153"/>
        <v>-</v>
      </c>
      <c r="AN49" s="51" t="str">
        <f t="shared" si="154"/>
        <v>-</v>
      </c>
      <c r="AO49" s="52" t="str">
        <f t="shared" si="155"/>
        <v>-</v>
      </c>
      <c r="AP49" s="52" t="str">
        <f t="shared" si="156"/>
        <v>-</v>
      </c>
      <c r="AQ49" s="52" t="str">
        <f t="shared" si="157"/>
        <v>-</v>
      </c>
      <c r="AR49" s="52" t="str">
        <f t="shared" si="158"/>
        <v>-</v>
      </c>
      <c r="AS49" s="52" t="str">
        <f t="shared" si="159"/>
        <v>-</v>
      </c>
      <c r="AT49" s="52" t="str">
        <f t="shared" si="160"/>
        <v>-</v>
      </c>
      <c r="AU49" s="52" t="str">
        <f t="shared" si="161"/>
        <v>-</v>
      </c>
      <c r="AV49" s="52" t="str">
        <f t="shared" si="162"/>
        <v>-</v>
      </c>
      <c r="AW49" s="52" t="str">
        <f t="shared" si="163"/>
        <v>-</v>
      </c>
      <c r="AX49" s="52" t="str">
        <f t="shared" si="164"/>
        <v>-</v>
      </c>
      <c r="AY49" s="52" t="str">
        <f t="shared" si="165"/>
        <v>-</v>
      </c>
      <c r="AZ49" s="52" t="str">
        <f t="shared" si="166"/>
        <v>-</v>
      </c>
      <c r="BA49" s="52" t="str">
        <f t="shared" si="167"/>
        <v>-</v>
      </c>
      <c r="BB49" s="52" t="str">
        <f t="shared" si="168"/>
        <v>-</v>
      </c>
      <c r="BC49" s="52" t="str">
        <f t="shared" si="169"/>
        <v>-</v>
      </c>
      <c r="BD49" s="52" t="str">
        <f t="shared" si="170"/>
        <v>-</v>
      </c>
      <c r="BE49" s="53" t="str">
        <f t="shared" si="171"/>
        <v>-</v>
      </c>
      <c r="BF49" s="51" t="str">
        <f t="shared" si="172"/>
        <v>-</v>
      </c>
      <c r="BG49" s="52" t="str">
        <f t="shared" si="173"/>
        <v>-</v>
      </c>
      <c r="BH49" s="52" t="str">
        <f t="shared" si="174"/>
        <v>-</v>
      </c>
      <c r="BI49" s="52" t="str">
        <f t="shared" si="175"/>
        <v>-</v>
      </c>
      <c r="BJ49" s="52" t="str">
        <f t="shared" si="176"/>
        <v>-</v>
      </c>
      <c r="BK49" s="52" t="str">
        <f t="shared" si="177"/>
        <v>-</v>
      </c>
      <c r="BL49" s="52" t="str">
        <f t="shared" si="178"/>
        <v>-</v>
      </c>
      <c r="BM49" s="52" t="str">
        <f t="shared" si="179"/>
        <v>-</v>
      </c>
      <c r="BN49" s="52" t="str">
        <f t="shared" si="180"/>
        <v>-</v>
      </c>
      <c r="BO49" s="52" t="str">
        <f t="shared" si="181"/>
        <v>-</v>
      </c>
      <c r="BP49" s="52" t="str">
        <f t="shared" si="182"/>
        <v>-</v>
      </c>
      <c r="BQ49" s="52" t="str">
        <f t="shared" si="183"/>
        <v>-</v>
      </c>
      <c r="BR49" s="52" t="str">
        <f t="shared" si="184"/>
        <v>-</v>
      </c>
      <c r="BS49" s="52" t="str">
        <f t="shared" si="185"/>
        <v>-</v>
      </c>
      <c r="BT49" s="52" t="str">
        <f t="shared" si="186"/>
        <v>-</v>
      </c>
      <c r="BU49" s="52" t="str">
        <f t="shared" si="187"/>
        <v>-</v>
      </c>
      <c r="BV49" s="52" t="str">
        <f t="shared" si="188"/>
        <v>-</v>
      </c>
      <c r="BW49" s="53" t="str">
        <f t="shared" si="189"/>
        <v>-</v>
      </c>
      <c r="BX49" s="51" t="str">
        <f t="shared" si="190"/>
        <v>-</v>
      </c>
      <c r="BY49" s="52" t="str">
        <f t="shared" si="191"/>
        <v>-</v>
      </c>
      <c r="BZ49" s="52" t="str">
        <f t="shared" si="192"/>
        <v>-</v>
      </c>
      <c r="CA49" s="52" t="str">
        <f t="shared" si="193"/>
        <v>-</v>
      </c>
      <c r="CB49" s="52" t="str">
        <f t="shared" si="194"/>
        <v>-</v>
      </c>
      <c r="CC49" s="52" t="str">
        <f t="shared" si="195"/>
        <v>-</v>
      </c>
      <c r="CD49" s="52" t="str">
        <f t="shared" si="196"/>
        <v>-</v>
      </c>
      <c r="CE49" s="52" t="str">
        <f t="shared" si="197"/>
        <v>-</v>
      </c>
      <c r="CF49" s="52" t="str">
        <f t="shared" si="198"/>
        <v>-</v>
      </c>
      <c r="CG49" s="52" t="str">
        <f t="shared" si="199"/>
        <v>-</v>
      </c>
      <c r="CH49" s="52" t="str">
        <f t="shared" si="200"/>
        <v>-</v>
      </c>
      <c r="CI49" s="52" t="str">
        <f t="shared" si="201"/>
        <v>-</v>
      </c>
      <c r="CJ49" s="52" t="str">
        <f t="shared" si="202"/>
        <v>-</v>
      </c>
      <c r="CK49" s="52" t="str">
        <f t="shared" si="203"/>
        <v>-</v>
      </c>
      <c r="CL49" s="52" t="str">
        <f t="shared" si="204"/>
        <v>-</v>
      </c>
      <c r="CM49" s="52" t="str">
        <f t="shared" si="205"/>
        <v>-</v>
      </c>
      <c r="CN49" s="52" t="str">
        <f t="shared" si="206"/>
        <v>-</v>
      </c>
      <c r="CO49" s="53" t="str">
        <f t="shared" si="207"/>
        <v>-</v>
      </c>
      <c r="CQ49" s="305" t="str">
        <f t="shared" si="126"/>
        <v>-</v>
      </c>
      <c r="CR49" s="305">
        <f t="shared" si="127"/>
        <v>38.5</v>
      </c>
      <c r="CS49" s="305" t="str">
        <f t="shared" si="128"/>
        <v>-</v>
      </c>
      <c r="CT49" s="305" t="str">
        <f t="shared" si="129"/>
        <v>-</v>
      </c>
      <c r="CU49" s="305" t="str">
        <f t="shared" si="130"/>
        <v>-</v>
      </c>
      <c r="CV49" s="305" t="str">
        <f t="shared" si="131"/>
        <v>-</v>
      </c>
      <c r="CX49" s="51">
        <f t="shared" si="208"/>
        <v>37.340000000000003</v>
      </c>
      <c r="CY49" s="52" t="str">
        <f t="shared" si="209"/>
        <v>-</v>
      </c>
      <c r="CZ49" s="53" t="str">
        <f t="shared" si="210"/>
        <v>-</v>
      </c>
      <c r="DA49" s="51" t="str">
        <f t="shared" si="211"/>
        <v>-</v>
      </c>
      <c r="DB49" s="52" t="str">
        <f t="shared" si="212"/>
        <v>-</v>
      </c>
      <c r="DC49" s="53" t="str">
        <f t="shared" si="213"/>
        <v>-</v>
      </c>
      <c r="DD49" s="57"/>
      <c r="DE49" s="106" t="str">
        <f t="shared" si="214"/>
        <v>-</v>
      </c>
      <c r="DF49" s="107" t="str">
        <f t="shared" si="215"/>
        <v>-</v>
      </c>
      <c r="DG49" s="107" t="str">
        <f t="shared" si="216"/>
        <v>-</v>
      </c>
      <c r="DH49" s="107">
        <f t="shared" si="217"/>
        <v>37.340000000000003</v>
      </c>
      <c r="DI49" s="107" t="str">
        <f t="shared" si="218"/>
        <v>-</v>
      </c>
      <c r="DJ49" s="107" t="str">
        <f t="shared" si="219"/>
        <v>-</v>
      </c>
      <c r="DK49" s="107" t="str">
        <f t="shared" si="220"/>
        <v>-</v>
      </c>
      <c r="DL49" s="107" t="str">
        <f t="shared" si="221"/>
        <v>-</v>
      </c>
      <c r="DM49" s="108" t="str">
        <f t="shared" si="222"/>
        <v>-</v>
      </c>
      <c r="DO49" s="106" t="str">
        <f t="shared" si="223"/>
        <v>-</v>
      </c>
      <c r="DP49" s="107" t="str">
        <f t="shared" si="224"/>
        <v>-</v>
      </c>
      <c r="DQ49" s="107" t="str">
        <f t="shared" si="225"/>
        <v>-</v>
      </c>
      <c r="DR49" s="107">
        <f t="shared" si="226"/>
        <v>37.340000000000003</v>
      </c>
      <c r="DS49" s="107" t="str">
        <f t="shared" si="227"/>
        <v>-</v>
      </c>
      <c r="DT49" s="107" t="str">
        <f t="shared" si="228"/>
        <v>-</v>
      </c>
      <c r="DU49" s="107" t="str">
        <f t="shared" si="229"/>
        <v>-</v>
      </c>
      <c r="DV49" s="107" t="str">
        <f t="shared" si="230"/>
        <v>-</v>
      </c>
      <c r="DW49" s="108" t="str">
        <f t="shared" si="231"/>
        <v>-</v>
      </c>
      <c r="DX49" s="109" t="str">
        <f t="shared" si="232"/>
        <v>-</v>
      </c>
      <c r="DY49" s="110" t="str">
        <f t="shared" si="233"/>
        <v>-</v>
      </c>
      <c r="DZ49" s="110" t="str">
        <f t="shared" si="234"/>
        <v>-</v>
      </c>
      <c r="EA49" s="110" t="str">
        <f t="shared" si="235"/>
        <v>-</v>
      </c>
      <c r="EB49" s="110" t="str">
        <f t="shared" si="236"/>
        <v>-</v>
      </c>
      <c r="EC49" s="110" t="str">
        <f t="shared" si="237"/>
        <v>-</v>
      </c>
      <c r="ED49" s="110" t="str">
        <f t="shared" si="238"/>
        <v>-</v>
      </c>
      <c r="EE49" s="110" t="str">
        <f t="shared" si="239"/>
        <v>-</v>
      </c>
      <c r="EF49" s="111" t="str">
        <f t="shared" si="240"/>
        <v>-</v>
      </c>
      <c r="EG49" s="109" t="str">
        <f t="shared" si="241"/>
        <v>-</v>
      </c>
      <c r="EH49" s="110" t="str">
        <f t="shared" si="242"/>
        <v>-</v>
      </c>
      <c r="EI49" s="110" t="str">
        <f t="shared" si="243"/>
        <v>-</v>
      </c>
      <c r="EJ49" s="110" t="str">
        <f t="shared" si="244"/>
        <v>-</v>
      </c>
      <c r="EK49" s="110" t="str">
        <f t="shared" si="245"/>
        <v>-</v>
      </c>
      <c r="EL49" s="110" t="str">
        <f t="shared" si="246"/>
        <v>-</v>
      </c>
      <c r="EM49" s="110" t="str">
        <f t="shared" si="247"/>
        <v>-</v>
      </c>
      <c r="EN49" s="110" t="str">
        <f t="shared" si="248"/>
        <v>-</v>
      </c>
      <c r="EO49" s="111" t="str">
        <f t="shared" si="249"/>
        <v>-</v>
      </c>
      <c r="EQ49" s="118">
        <f t="shared" si="250"/>
        <v>37.340000000000003</v>
      </c>
      <c r="ER49" s="119" t="str">
        <f t="shared" si="251"/>
        <v>-</v>
      </c>
      <c r="ES49" s="120" t="str">
        <f t="shared" si="252"/>
        <v>-</v>
      </c>
      <c r="ET49" s="90">
        <v>2</v>
      </c>
      <c r="EU49" s="118">
        <f t="shared" si="253"/>
        <v>2</v>
      </c>
      <c r="EV49" s="119" t="str">
        <f t="shared" si="254"/>
        <v>-</v>
      </c>
      <c r="EW49" s="120" t="str">
        <f t="shared" si="255"/>
        <v>-</v>
      </c>
    </row>
    <row r="50" spans="1:153" ht="15.75" thickBot="1" x14ac:dyDescent="0.3">
      <c r="A50" s="41"/>
      <c r="B50" s="171" t="s">
        <v>487</v>
      </c>
      <c r="C50" s="171" t="s">
        <v>488</v>
      </c>
      <c r="D50" s="38">
        <f>VLOOKUP(B50,'BASE DE DATOS'!$B$3:$E$106,2,FALSE)</f>
        <v>34.42</v>
      </c>
      <c r="E50" s="38">
        <f>VLOOKUP(B50,'BASE DE DATOS'!$B$3:$E$106,4,FALSE)</f>
        <v>2.4100000000000037</v>
      </c>
      <c r="F50" s="38">
        <f>VLOOKUP(C50,'BASE DE DATOS'!$B$3:$E$106,2,FALSE)</f>
        <v>33.79</v>
      </c>
      <c r="G50" s="38">
        <f>VLOOKUP(C50,'BASE DE DATOS'!$B$3:$E$106,4,FALSE)</f>
        <v>1.9100000000000001</v>
      </c>
      <c r="H50" s="39">
        <f t="shared" si="135"/>
        <v>2.1600000000000019</v>
      </c>
      <c r="I50" s="171">
        <v>45.75</v>
      </c>
      <c r="J50" s="44">
        <f t="shared" si="132"/>
        <v>45.75</v>
      </c>
      <c r="K50" s="40">
        <f t="shared" si="133"/>
        <v>44.15</v>
      </c>
      <c r="L50" s="40">
        <f t="shared" si="134"/>
        <v>44.55</v>
      </c>
      <c r="M50" s="44">
        <f t="shared" si="124"/>
        <v>250</v>
      </c>
      <c r="N50" s="40">
        <f t="shared" si="125"/>
        <v>45.75</v>
      </c>
      <c r="O50" s="171" t="s">
        <v>120</v>
      </c>
      <c r="P50" s="19">
        <v>234.6</v>
      </c>
      <c r="Q50" s="171" t="s">
        <v>123</v>
      </c>
      <c r="R50" s="171" t="s">
        <v>133</v>
      </c>
      <c r="S50" s="171" t="s">
        <v>148</v>
      </c>
      <c r="T50" s="171" t="s">
        <v>149</v>
      </c>
      <c r="V50" s="51" t="str">
        <f t="shared" ref="V50:V81" si="256">IF(AND($H50&lt;=1.25,$Q50="R",$R50="NO",$T50="E",$M50&gt;=200,$M50&lt;=250)=TRUE,$K50,"-")</f>
        <v>-</v>
      </c>
      <c r="W50" s="52" t="str">
        <f t="shared" ref="W50:W81" si="257">IF(AND($H50&lt;=1.25,$Q50="P",$R50="NO",$T50="E",$M50&gt;=200,$M50&lt;=250)=TRUE,$K50,"-")</f>
        <v>-</v>
      </c>
      <c r="X50" s="52" t="str">
        <f t="shared" ref="X50:X81" si="258">IF(AND(1.25&lt;$H50,$H50&lt;=1.5,$Q50="R",$R50="NO",$T50="E",$M50&gt;=200,$M50&lt;=250)=TRUE,$K50,"-")</f>
        <v>-</v>
      </c>
      <c r="Y50" s="52" t="str">
        <f t="shared" ref="Y50:Y81" si="259">IF(AND(1.25&lt;$H50,$H50&lt;=1.5,$Q50="P",$R50="NO",$T50="E",$M50&gt;=200,$M50&lt;=250)=TRUE,$K50,"-")</f>
        <v>-</v>
      </c>
      <c r="Z50" s="52" t="str">
        <f t="shared" ref="Z50:Z81" si="260">IF(AND(1.5&lt;$H50,$H50&lt;=1.75,$Q50="R",$R50="NO",$T50="E",$M50&gt;=200,$M50&lt;=250)=TRUE,$K50,"-")</f>
        <v>-</v>
      </c>
      <c r="AA50" s="52" t="str">
        <f t="shared" ref="AA50:AA81" si="261">IF(AND(1.5&lt;$H50,$H50&lt;=1.75,$Q50="P",$R50="NO",$T50="E",$M50&gt;=200,$M50&lt;=250)=TRUE,$K50,"-")</f>
        <v>-</v>
      </c>
      <c r="AB50" s="52" t="str">
        <f t="shared" ref="AB50:AB81" si="262">IF(AND(1.75&lt;$H50,$H50&lt;=2,$Q50="R",$R50="NO",$T50="E",$M50&gt;=200,$M50&lt;=250)=TRUE,$K50,"-")</f>
        <v>-</v>
      </c>
      <c r="AC50" s="52" t="str">
        <f t="shared" ref="AC50:AC81" si="263">IF(AND(1.75&lt;$H50,$H50&lt;=2,$Q50="P",$R50="NO",$T50="E",$M50&gt;=200,$M50&lt;=250)=TRUE,$K50,"-")</f>
        <v>-</v>
      </c>
      <c r="AD50" s="52" t="str">
        <f t="shared" ref="AD50:AD81" si="264">IF(AND(2&lt;$H50,$H50&lt;=2.5,$Q50="R",$R50="NO",$T50="E",$M50&gt;=200,$M50&lt;=250)=TRUE,$K50,"-")</f>
        <v>-</v>
      </c>
      <c r="AE50" s="52" t="str">
        <f t="shared" ref="AE50:AE81" si="265">IF(AND(2&lt;$H50,$H50&lt;=2.5,$Q50="P",$R50="NO",$T50="E",$M50&gt;=200,$M50&lt;=250)=TRUE,$K50,"-")</f>
        <v>-</v>
      </c>
      <c r="AF50" s="52" t="str">
        <f t="shared" ref="AF50:AF81" si="266">IF(AND(2.5&lt;$H50,$H50&lt;=3,$Q50="R",$R50="NO",$T50="E",$M50&gt;=200,$M50&lt;=250)=TRUE,$K50,"-")</f>
        <v>-</v>
      </c>
      <c r="AG50" s="52" t="str">
        <f t="shared" ref="AG50:AG81" si="267">IF(AND(2.5&lt;$H50,$H50&lt;=3,$Q50="P",$R50="NO",$T50="E",$M50&gt;=200,$M50&lt;=250)=TRUE,$K50,"-")</f>
        <v>-</v>
      </c>
      <c r="AH50" s="52" t="str">
        <f t="shared" ref="AH50:AH81" si="268">IF(AND(3&lt;$H50,$H50&lt;=3.5,$Q50="R",$R50="NO",$T50="E",$M50&gt;=200,$M50&lt;=250)=TRUE,$K50,"-")</f>
        <v>-</v>
      </c>
      <c r="AI50" s="52" t="str">
        <f t="shared" ref="AI50:AI81" si="269">IF(AND(3&lt;$H50,$H50&lt;=3.5,$Q50="P",$R50="NO",$T50="E",$M50&gt;=200,$M50&lt;=250)=TRUE,$K50,"-")</f>
        <v>-</v>
      </c>
      <c r="AJ50" s="52" t="str">
        <f t="shared" ref="AJ50:AJ81" si="270">IF(AND(3.5&lt;$H50,$H50&lt;=4,$Q50="R",$R50="NO",$T50="E",$M50&gt;=200,$M50&lt;=250)=TRUE,$K50,"-")</f>
        <v>-</v>
      </c>
      <c r="AK50" s="52" t="str">
        <f t="shared" ref="AK50:AK81" si="271">IF(AND(3.5&lt;$H50,$H50&lt;=4,$Q50="P",$R50="NO",$T50="E",$M50&gt;=200,$M50&lt;=250)=TRUE,$K50,"-")</f>
        <v>-</v>
      </c>
      <c r="AL50" s="52" t="str">
        <f t="shared" ref="AL50:AL81" si="272">IF(AND(5&lt;$H50,$H50&lt;=6,$Q50="R",$R50="NO",$T50="E",$M50&gt;=200,$M50&lt;=250)=TRUE,$K50,"-")</f>
        <v>-</v>
      </c>
      <c r="AM50" s="53" t="str">
        <f t="shared" ref="AM50:AM81" si="273">IF(AND(5&lt;$H50,$H50&lt;=6,$Q50="P",$R50="NO",$T50="E",$M50&gt;=200,$M50&lt;=250)=TRUE,$K50,"-")</f>
        <v>-</v>
      </c>
      <c r="AN50" s="51" t="str">
        <f t="shared" ref="AN50:AN81" si="274">IF(AND($H50&lt;=1.25,$Q50="R",$R50="NO",$T50="E",$M50&gt;=300,$M50&lt;=350)=TRUE,$K50,"-")</f>
        <v>-</v>
      </c>
      <c r="AO50" s="52" t="str">
        <f t="shared" ref="AO50:AO81" si="275">IF(AND($H50&lt;=1.25,$Q50="P",$R50="NO",$T50="E",$M50&gt;=300,$M50&lt;=350)=TRUE,$K50,"-")</f>
        <v>-</v>
      </c>
      <c r="AP50" s="52" t="str">
        <f t="shared" ref="AP50:AP81" si="276">IF(AND(1.25&lt;$H50,$H50&lt;=1.5,$Q50="R",$R50="NO",$T50="E",$M50&gt;=300,$M50&lt;=350)=TRUE,$K50,"-")</f>
        <v>-</v>
      </c>
      <c r="AQ50" s="52" t="str">
        <f t="shared" ref="AQ50:AQ81" si="277">IF(AND(1.25&lt;$H50,$H50&lt;=1.5,$Q50="P",$R50="NO",$T50="E",$M50&gt;=300,$M50&lt;=350)=TRUE,$K50,"-")</f>
        <v>-</v>
      </c>
      <c r="AR50" s="52" t="str">
        <f t="shared" ref="AR50:AR81" si="278">IF(AND(1.5&lt;$H50,$H50&lt;=1.75,$Q50="R",$R50="NO",$T50="E",$M50&gt;=300,$M50&lt;=350)=TRUE,$K50,"-")</f>
        <v>-</v>
      </c>
      <c r="AS50" s="52" t="str">
        <f t="shared" ref="AS50:AS81" si="279">IF(AND(1.5&lt;$H50,$H50&lt;=1.75,$Q50="P",$R50="NO",$T50="E",$M50&gt;=300,$M50&lt;=350)=TRUE,$K50,"-")</f>
        <v>-</v>
      </c>
      <c r="AT50" s="52" t="str">
        <f t="shared" ref="AT50:AT81" si="280">IF(AND(1.75&lt;$H50,$H50&lt;=2,$Q50="R",$R50="NO",$T50="E",$M50&gt;=300,$M50&lt;=350)=TRUE,$K50,"-")</f>
        <v>-</v>
      </c>
      <c r="AU50" s="52" t="str">
        <f t="shared" ref="AU50:AU81" si="281">IF(AND(1.75&lt;$H50,$H50&lt;=2,$Q50="P",$R50="NO",$T50="E",$M50&gt;=300,$M50&lt;=350)=TRUE,$K50,"-")</f>
        <v>-</v>
      </c>
      <c r="AV50" s="52" t="str">
        <f t="shared" ref="AV50:AV81" si="282">IF(AND(2&lt;$H50,$H50&lt;=2.5,$Q50="R",$R50="NO",$T50="E",$M50&gt;=300,$M50&lt;=350)=TRUE,$K50,"-")</f>
        <v>-</v>
      </c>
      <c r="AW50" s="52" t="str">
        <f t="shared" ref="AW50:AW81" si="283">IF(AND(2&lt;$H50,$H50&lt;=2.5,$Q50="P",$R50="NO",$T50="E",$M50&gt;=300,$M50&lt;=350)=TRUE,$K50,"-")</f>
        <v>-</v>
      </c>
      <c r="AX50" s="52" t="str">
        <f t="shared" ref="AX50:AX81" si="284">IF(AND(2.5&lt;$H50,$H50&lt;=3,$Q50="R",$R50="NO",$T50="E",$M50&gt;=300,$M50&lt;=350)=TRUE,$K50,"-")</f>
        <v>-</v>
      </c>
      <c r="AY50" s="52" t="str">
        <f t="shared" ref="AY50:AY81" si="285">IF(AND(2.5&lt;$H50,$H50&lt;=3,$Q50="P",$R50="NO",$T50="E",$M50&gt;=300,$M50&lt;=350)=TRUE,$K50,"-")</f>
        <v>-</v>
      </c>
      <c r="AZ50" s="52" t="str">
        <f t="shared" ref="AZ50:AZ81" si="286">IF(AND(3&lt;$H50,$H50&lt;=3.5,$Q50="R",$R50="NO",$T50="E",$M50&gt;=300,$M50&lt;=350)=TRUE,$K50,"-")</f>
        <v>-</v>
      </c>
      <c r="BA50" s="52" t="str">
        <f t="shared" ref="BA50:BA81" si="287">IF(AND(3&lt;$H50,$H50&lt;=3.5,$Q50="P",$R50="NO",$T50="E",$M50&gt;=300,$M50&lt;=350)=TRUE,$K50,"-")</f>
        <v>-</v>
      </c>
      <c r="BB50" s="52" t="str">
        <f t="shared" ref="BB50:BB81" si="288">IF(AND(3.5&lt;$H50,$H50&lt;=4,$Q50="R",$R50="NO",$T50="E",$M50&gt;=300,$M50&lt;=350)=TRUE,$K50,"-")</f>
        <v>-</v>
      </c>
      <c r="BC50" s="52" t="str">
        <f t="shared" ref="BC50:BC81" si="289">IF(AND(3.5&lt;$H50,$H50&lt;=4,$Q50="P",$R50="NO",$T50="E",$M50&gt;=300,$M50&lt;=350)=TRUE,$K50,"-")</f>
        <v>-</v>
      </c>
      <c r="BD50" s="52" t="str">
        <f t="shared" ref="BD50:BD81" si="290">IF(AND(5&lt;$H50,$H50&lt;=6,$Q50="R",$R50="NO",$T50="E",$M50&gt;=300,$M50&lt;=350)=TRUE,$K50,"-")</f>
        <v>-</v>
      </c>
      <c r="BE50" s="53" t="str">
        <f t="shared" ref="BE50:BE81" si="291">IF(AND(5&lt;$H50,$H50&lt;=6,$Q50="P",$R50="NO",$T50="E",$M50&gt;=300,$M50&lt;=350)=TRUE,$K50,"-")</f>
        <v>-</v>
      </c>
      <c r="BF50" s="51" t="str">
        <f t="shared" ref="BF50:BF81" si="292">IF(AND($H50&lt;=1.25,$Q50="R",$R50="NO",$T50="M",$M50&gt;=200,$M50&lt;=250)=TRUE,$K50,"-")</f>
        <v>-</v>
      </c>
      <c r="BG50" s="52" t="str">
        <f t="shared" ref="BG50:BG81" si="293">IF(AND($H50&lt;=1.25,$Q50="P",$R50="NO",$T50="M",$M50&gt;=200,$M50&lt;=250)=TRUE,$K50,"-")</f>
        <v>-</v>
      </c>
      <c r="BH50" s="52" t="str">
        <f t="shared" ref="BH50:BH81" si="294">IF(AND(1.25&lt;$H50,$H50&lt;=1.5,$Q50="R",$R50="NO",$T50="M",$M50&gt;=200,$M50&lt;=250)=TRUE,$K50,"-")</f>
        <v>-</v>
      </c>
      <c r="BI50" s="52" t="str">
        <f t="shared" ref="BI50:BI81" si="295">IF(AND(1.25&lt;$H50,$H50&lt;=1.5,$Q50="P",$R50="NO",$T50="M",$M50&gt;=200,$M50&lt;=250)=TRUE,$K50,"-")</f>
        <v>-</v>
      </c>
      <c r="BJ50" s="52" t="str">
        <f t="shared" ref="BJ50:BJ81" si="296">IF(AND(1.5&lt;$H50,$H50&lt;=1.75,$Q50="R",$R50="NO",$T50="M",$M50&gt;=200,$M50&lt;=250)=TRUE,$K50,"-")</f>
        <v>-</v>
      </c>
      <c r="BK50" s="52" t="str">
        <f t="shared" ref="BK50:BK81" si="297">IF(AND(1.5&lt;$H50,$H50&lt;=1.75,$Q50="P",$R50="NO",$T50="M",$M50&gt;=200,$M50&lt;=250)=TRUE,$K50,"-")</f>
        <v>-</v>
      </c>
      <c r="BL50" s="52" t="str">
        <f t="shared" ref="BL50:BL81" si="298">IF(AND(1.75&lt;$H50,$H50&lt;=2,$Q50="R",$R50="NO",$T50="M",$M50&gt;=200,$M50&lt;=250)=TRUE,$K50,"-")</f>
        <v>-</v>
      </c>
      <c r="BM50" s="52" t="str">
        <f t="shared" ref="BM50:BM81" si="299">IF(AND(1.75&lt;$H50,$H50&lt;=2,$Q50="P",$R50="NO",$T50="M",$M50&gt;=200,$M50&lt;=250)=TRUE,$K50,"-")</f>
        <v>-</v>
      </c>
      <c r="BN50" s="52" t="str">
        <f t="shared" ref="BN50:BN81" si="300">IF(AND(2&lt;$H50,$H50&lt;=2.5,$Q50="R",$R50="NO",$T50="M",$M50&gt;=200,$M50&lt;=250)=TRUE,$K50,"-")</f>
        <v>-</v>
      </c>
      <c r="BO50" s="52">
        <f t="shared" ref="BO50:BO81" si="301">IF(AND(2&lt;$H50,$H50&lt;=2.5,$Q50="P",$R50="NO",$T50="M",$M50&gt;=200,$M50&lt;=250)=TRUE,$K50,"-")</f>
        <v>44.15</v>
      </c>
      <c r="BP50" s="52" t="str">
        <f t="shared" ref="BP50:BP81" si="302">IF(AND(2.5&lt;$H50,$H50&lt;=3,$Q50="R",$R50="NO",$T50="M",$M50&gt;=200,$M50&lt;=250)=TRUE,$K50,"-")</f>
        <v>-</v>
      </c>
      <c r="BQ50" s="52" t="str">
        <f t="shared" ref="BQ50:BQ81" si="303">IF(AND(2.5&lt;$H50,$H50&lt;=3,$Q50="P",$R50="NO",$T50="M",$M50&gt;=200,$M50&lt;=250)=TRUE,$K50,"-")</f>
        <v>-</v>
      </c>
      <c r="BR50" s="52" t="str">
        <f t="shared" ref="BR50:BR81" si="304">IF(AND(3&lt;$H50,$H50&lt;=3.5,$Q50="R",$R50="NO",$T50="M",$M50&gt;=200,$M50&lt;=250)=TRUE,$K50,"-")</f>
        <v>-</v>
      </c>
      <c r="BS50" s="52" t="str">
        <f t="shared" ref="BS50:BS81" si="305">IF(AND(3&lt;$H50,$H50&lt;=3.5,$Q50="P",$R50="NO",$T50="M",$M50&gt;=200,$M50&lt;=250)=TRUE,$K50,"-")</f>
        <v>-</v>
      </c>
      <c r="BT50" s="52" t="str">
        <f t="shared" ref="BT50:BT81" si="306">IF(AND(3.5&lt;$H50,$H50&lt;=4,$Q50="R",$R50="NO",$T50="M",$M50&gt;=200,$M50&lt;=250)=TRUE,$K50,"-")</f>
        <v>-</v>
      </c>
      <c r="BU50" s="52" t="str">
        <f t="shared" ref="BU50:BU81" si="307">IF(AND(3.5&lt;$H50,$H50&lt;=4,$Q50="P",$R50="NO",$T50="M",$M50&gt;=200,$M50&lt;=250)=TRUE,$K50,"-")</f>
        <v>-</v>
      </c>
      <c r="BV50" s="52" t="str">
        <f t="shared" ref="BV50:BV81" si="308">IF(AND(5&lt;$H50,$H50&lt;=6,$Q50="R",$R50="NO",$T50="M",$M50&gt;=200,$M50&lt;=250)=TRUE,$K50,"-")</f>
        <v>-</v>
      </c>
      <c r="BW50" s="53" t="str">
        <f t="shared" ref="BW50:BW81" si="309">IF(AND(5&lt;$H50,$H50&lt;=6,$Q50="P",$R50="NO",$T50="M",$M50&gt;=200,$M50&lt;=250)=TRUE,$K50,"-")</f>
        <v>-</v>
      </c>
      <c r="BX50" s="51" t="str">
        <f t="shared" ref="BX50:BX81" si="310">IF(AND($H50&lt;=1.25,$Q50="R",$R50="NO",$T50="M",$M50&gt;=300,$M50&lt;=350)=TRUE,$K50,"-")</f>
        <v>-</v>
      </c>
      <c r="BY50" s="52" t="str">
        <f t="shared" ref="BY50:BY81" si="311">IF(AND($H50&lt;=1.25,$Q50="P",$R50="NO",$T50="M",$M50&gt;=300,$M50&lt;=350)=TRUE,$K50,"-")</f>
        <v>-</v>
      </c>
      <c r="BZ50" s="52" t="str">
        <f t="shared" ref="BZ50:BZ81" si="312">IF(AND(1.25&lt;$H50,$H50&lt;=1.5,$Q50="R",$R50="NO",$T50="M",$M50&gt;=300,$M50&lt;=350)=TRUE,$K50,"-")</f>
        <v>-</v>
      </c>
      <c r="CA50" s="52" t="str">
        <f t="shared" ref="CA50:CA81" si="313">IF(AND(1.25&lt;$H50,$H50&lt;=1.5,$Q50="P",$R50="NO",$T50="M",$M50&gt;=300,$M50&lt;=350)=TRUE,$K50,"-")</f>
        <v>-</v>
      </c>
      <c r="CB50" s="52" t="str">
        <f t="shared" ref="CB50:CB81" si="314">IF(AND(1.5&lt;$H50,$H50&lt;=1.75,$Q50="R",$R50="NO",$T50="M",$M50&gt;=300,$M50&lt;=350)=TRUE,$K50,"-")</f>
        <v>-</v>
      </c>
      <c r="CC50" s="52" t="str">
        <f t="shared" ref="CC50:CC81" si="315">IF(AND(1.5&lt;$H50,$H50&lt;=1.75,$Q50="P",$R50="NO",$T50="M",$M50&gt;=300,$M50&lt;=350)=TRUE,$K50,"-")</f>
        <v>-</v>
      </c>
      <c r="CD50" s="52" t="str">
        <f t="shared" ref="CD50:CD81" si="316">IF(AND(1.75&lt;$H50,$H50&lt;=2,$Q50="R",$R50="NO",$T50="M",$M50&gt;=300,$M50&lt;=350)=TRUE,$K50,"-")</f>
        <v>-</v>
      </c>
      <c r="CE50" s="52" t="str">
        <f t="shared" ref="CE50:CE81" si="317">IF(AND(1.75&lt;$H50,$H50&lt;=2,$Q50="P",$R50="NO",$T50="M",$M50&gt;=300,$M50&lt;=350)=TRUE,$K50,"-")</f>
        <v>-</v>
      </c>
      <c r="CF50" s="52" t="str">
        <f t="shared" ref="CF50:CF81" si="318">IF(AND(2&lt;$H50,$H50&lt;=2.5,$Q50="R",$R50="NO",$T50="M",$M50&gt;=300,$M50&lt;=350)=TRUE,$K50,"-")</f>
        <v>-</v>
      </c>
      <c r="CG50" s="52" t="str">
        <f t="shared" ref="CG50:CG81" si="319">IF(AND(2&lt;$H50,$H50&lt;=2.5,$Q50="P",$R50="NO",$T50="M",$M50&gt;=300,$M50&lt;=350)=TRUE,$K50,"-")</f>
        <v>-</v>
      </c>
      <c r="CH50" s="52" t="str">
        <f t="shared" ref="CH50:CH81" si="320">IF(AND(2.5&lt;$H50,$H50&lt;=3,$Q50="R",$R50="NO",$T50="M",$M50&gt;=300,$M50&lt;=350)=TRUE,$K50,"-")</f>
        <v>-</v>
      </c>
      <c r="CI50" s="52" t="str">
        <f t="shared" ref="CI50:CI81" si="321">IF(AND(2.5&lt;$H50,$H50&lt;=3,$Q50="P",$R50="NO",$T50="M",$M50&gt;=300,$M50&lt;=350)=TRUE,$K50,"-")</f>
        <v>-</v>
      </c>
      <c r="CJ50" s="52" t="str">
        <f t="shared" ref="CJ50:CJ81" si="322">IF(AND(3&lt;$H50,$H50&lt;=3.5,$Q50="R",$R50="NO",$T50="M",$M50&gt;=300,$M50&lt;=350)=TRUE,$K50,"-")</f>
        <v>-</v>
      </c>
      <c r="CK50" s="52" t="str">
        <f t="shared" ref="CK50:CK81" si="323">IF(AND(3&lt;$H50,$H50&lt;=3.5,$Q50="P",$R50="NO",$T50="M",$M50&gt;=300,$M50&lt;=350)=TRUE,$K50,"-")</f>
        <v>-</v>
      </c>
      <c r="CL50" s="52" t="str">
        <f t="shared" ref="CL50:CL81" si="324">IF(AND(3.5&lt;$H50,$H50&lt;=4,$Q50="R",$R50="NO",$T50="M",$M50&gt;=300,$M50&lt;=350)=TRUE,$K50,"-")</f>
        <v>-</v>
      </c>
      <c r="CM50" s="52" t="str">
        <f t="shared" ref="CM50:CM81" si="325">IF(AND(3.5&lt;$H50,$H50&lt;=4,$Q50="P",$R50="NO",$T50="M",$M50&gt;=300,$M50&lt;=350)=TRUE,$K50,"-")</f>
        <v>-</v>
      </c>
      <c r="CN50" s="52" t="str">
        <f t="shared" ref="CN50:CN81" si="326">IF(AND(5&lt;$H50,$H50&lt;=6,$Q50="R",$R50="NO",$T50="M",$M50&gt;=300,$M50&lt;=350)=TRUE,$K50,"-")</f>
        <v>-</v>
      </c>
      <c r="CO50" s="53" t="str">
        <f t="shared" ref="CO50:CO81" si="327">IF(AND(5&lt;$H50,$H50&lt;=6,$Q50="P",$R50="NO",$T50="M",$M50&gt;=300,$M50&lt;=350)=TRUE,$K50,"-")</f>
        <v>-</v>
      </c>
      <c r="CQ50" s="305" t="str">
        <f t="shared" si="126"/>
        <v>-</v>
      </c>
      <c r="CR50" s="305" t="str">
        <f t="shared" si="127"/>
        <v>-</v>
      </c>
      <c r="CS50" s="305" t="str">
        <f t="shared" si="128"/>
        <v>-</v>
      </c>
      <c r="CT50" s="305">
        <f t="shared" si="129"/>
        <v>45.75</v>
      </c>
      <c r="CU50" s="305" t="str">
        <f t="shared" si="130"/>
        <v>-</v>
      </c>
      <c r="CV50" s="305" t="str">
        <f t="shared" si="131"/>
        <v>-</v>
      </c>
      <c r="CX50" s="51" t="str">
        <f t="shared" si="208"/>
        <v>-</v>
      </c>
      <c r="CY50" s="52">
        <f t="shared" si="209"/>
        <v>44.55</v>
      </c>
      <c r="CZ50" s="53" t="str">
        <f t="shared" si="210"/>
        <v>-</v>
      </c>
      <c r="DA50" s="51" t="str">
        <f t="shared" si="211"/>
        <v>-</v>
      </c>
      <c r="DB50" s="52" t="str">
        <f t="shared" si="212"/>
        <v>-</v>
      </c>
      <c r="DC50" s="53" t="str">
        <f t="shared" si="213"/>
        <v>-</v>
      </c>
      <c r="DD50" s="57"/>
      <c r="DE50" s="106" t="str">
        <f t="shared" si="214"/>
        <v>-</v>
      </c>
      <c r="DF50" s="107" t="str">
        <f t="shared" si="215"/>
        <v>-</v>
      </c>
      <c r="DG50" s="107" t="str">
        <f t="shared" si="216"/>
        <v>-</v>
      </c>
      <c r="DH50" s="107" t="str">
        <f t="shared" si="217"/>
        <v>-</v>
      </c>
      <c r="DI50" s="107" t="str">
        <f t="shared" si="218"/>
        <v>-</v>
      </c>
      <c r="DJ50" s="107" t="str">
        <f t="shared" si="219"/>
        <v>-</v>
      </c>
      <c r="DK50" s="107" t="str">
        <f t="shared" si="220"/>
        <v>-</v>
      </c>
      <c r="DL50" s="107" t="str">
        <f t="shared" si="221"/>
        <v>-</v>
      </c>
      <c r="DM50" s="108" t="str">
        <f t="shared" si="222"/>
        <v>-</v>
      </c>
      <c r="DO50" s="106" t="str">
        <f t="shared" si="223"/>
        <v>-</v>
      </c>
      <c r="DP50" s="107" t="str">
        <f t="shared" si="224"/>
        <v>-</v>
      </c>
      <c r="DQ50" s="107" t="str">
        <f t="shared" si="225"/>
        <v>-</v>
      </c>
      <c r="DR50" s="107" t="str">
        <f t="shared" si="226"/>
        <v>-</v>
      </c>
      <c r="DS50" s="107" t="str">
        <f t="shared" si="227"/>
        <v>-</v>
      </c>
      <c r="DT50" s="107" t="str">
        <f t="shared" si="228"/>
        <v>-</v>
      </c>
      <c r="DU50" s="107" t="str">
        <f t="shared" si="229"/>
        <v>-</v>
      </c>
      <c r="DV50" s="107" t="str">
        <f t="shared" si="230"/>
        <v>-</v>
      </c>
      <c r="DW50" s="108" t="str">
        <f t="shared" si="231"/>
        <v>-</v>
      </c>
      <c r="DX50" s="109" t="str">
        <f t="shared" si="232"/>
        <v>-</v>
      </c>
      <c r="DY50" s="110" t="str">
        <f t="shared" si="233"/>
        <v>-</v>
      </c>
      <c r="DZ50" s="110" t="str">
        <f t="shared" si="234"/>
        <v>-</v>
      </c>
      <c r="EA50" s="110" t="str">
        <f t="shared" si="235"/>
        <v>-</v>
      </c>
      <c r="EB50" s="110">
        <f t="shared" si="236"/>
        <v>45.75</v>
      </c>
      <c r="EC50" s="110" t="str">
        <f t="shared" si="237"/>
        <v>-</v>
      </c>
      <c r="ED50" s="110" t="str">
        <f t="shared" si="238"/>
        <v>-</v>
      </c>
      <c r="EE50" s="110" t="str">
        <f t="shared" si="239"/>
        <v>-</v>
      </c>
      <c r="EF50" s="111" t="str">
        <f t="shared" si="240"/>
        <v>-</v>
      </c>
      <c r="EG50" s="109" t="str">
        <f t="shared" si="241"/>
        <v>-</v>
      </c>
      <c r="EH50" s="110" t="str">
        <f t="shared" si="242"/>
        <v>-</v>
      </c>
      <c r="EI50" s="110" t="str">
        <f t="shared" si="243"/>
        <v>-</v>
      </c>
      <c r="EJ50" s="110" t="str">
        <f t="shared" si="244"/>
        <v>-</v>
      </c>
      <c r="EK50" s="110" t="str">
        <f t="shared" si="245"/>
        <v>-</v>
      </c>
      <c r="EL50" s="110" t="str">
        <f t="shared" si="246"/>
        <v>-</v>
      </c>
      <c r="EM50" s="110" t="str">
        <f t="shared" si="247"/>
        <v>-</v>
      </c>
      <c r="EN50" s="110" t="str">
        <f t="shared" si="248"/>
        <v>-</v>
      </c>
      <c r="EO50" s="111" t="str">
        <f t="shared" si="249"/>
        <v>-</v>
      </c>
      <c r="EQ50" s="118" t="str">
        <f t="shared" si="250"/>
        <v>-</v>
      </c>
      <c r="ER50" s="119">
        <f t="shared" si="251"/>
        <v>44.55</v>
      </c>
      <c r="ES50" s="120" t="str">
        <f t="shared" si="252"/>
        <v>-</v>
      </c>
      <c r="ET50" s="90">
        <v>2</v>
      </c>
      <c r="EU50" s="118" t="str">
        <f t="shared" si="253"/>
        <v>-</v>
      </c>
      <c r="EV50" s="119">
        <f t="shared" si="254"/>
        <v>2</v>
      </c>
      <c r="EW50" s="120" t="str">
        <f t="shared" si="255"/>
        <v>-</v>
      </c>
    </row>
    <row r="51" spans="1:153" ht="15.75" thickBot="1" x14ac:dyDescent="0.3">
      <c r="A51" s="41"/>
      <c r="B51" s="171" t="s">
        <v>488</v>
      </c>
      <c r="C51" s="171" t="s">
        <v>492</v>
      </c>
      <c r="D51" s="42">
        <f>VLOOKUP(B51,'BASE DE DATOS'!$B$3:$E$106,2,FALSE)</f>
        <v>33.79</v>
      </c>
      <c r="E51" s="42">
        <f>VLOOKUP(B51,'BASE DE DATOS'!$B$3:$E$106,4,FALSE)</f>
        <v>1.9100000000000001</v>
      </c>
      <c r="F51" s="42">
        <f>VLOOKUP(C51,'BASE DE DATOS'!$B$3:$E$106,2,FALSE)</f>
        <v>33.549999999999997</v>
      </c>
      <c r="G51" s="42">
        <f>VLOOKUP(C51,'BASE DE DATOS'!$B$3:$E$106,4,FALSE)</f>
        <v>2.1699999999999982</v>
      </c>
      <c r="H51" s="43">
        <f t="shared" si="135"/>
        <v>2.0399999999999991</v>
      </c>
      <c r="I51" s="171">
        <v>57.12</v>
      </c>
      <c r="J51" s="44">
        <f t="shared" si="132"/>
        <v>57.12</v>
      </c>
      <c r="K51" s="40">
        <f t="shared" si="133"/>
        <v>55.52</v>
      </c>
      <c r="L51" s="40">
        <f t="shared" si="134"/>
        <v>55.92</v>
      </c>
      <c r="M51" s="44">
        <f t="shared" si="124"/>
        <v>250</v>
      </c>
      <c r="N51" s="40">
        <f t="shared" si="125"/>
        <v>57.12</v>
      </c>
      <c r="O51" s="171" t="s">
        <v>120</v>
      </c>
      <c r="P51" s="19">
        <v>234.6</v>
      </c>
      <c r="Q51" s="171" t="s">
        <v>122</v>
      </c>
      <c r="R51" s="171" t="s">
        <v>133</v>
      </c>
      <c r="S51" s="171" t="s">
        <v>148</v>
      </c>
      <c r="T51" s="171" t="s">
        <v>149</v>
      </c>
      <c r="V51" s="51" t="str">
        <f t="shared" si="256"/>
        <v>-</v>
      </c>
      <c r="W51" s="52" t="str">
        <f t="shared" si="257"/>
        <v>-</v>
      </c>
      <c r="X51" s="52" t="str">
        <f t="shared" si="258"/>
        <v>-</v>
      </c>
      <c r="Y51" s="52" t="str">
        <f t="shared" si="259"/>
        <v>-</v>
      </c>
      <c r="Z51" s="52" t="str">
        <f t="shared" si="260"/>
        <v>-</v>
      </c>
      <c r="AA51" s="52" t="str">
        <f t="shared" si="261"/>
        <v>-</v>
      </c>
      <c r="AB51" s="52" t="str">
        <f t="shared" si="262"/>
        <v>-</v>
      </c>
      <c r="AC51" s="52" t="str">
        <f t="shared" si="263"/>
        <v>-</v>
      </c>
      <c r="AD51" s="52" t="str">
        <f t="shared" si="264"/>
        <v>-</v>
      </c>
      <c r="AE51" s="52" t="str">
        <f t="shared" si="265"/>
        <v>-</v>
      </c>
      <c r="AF51" s="52" t="str">
        <f t="shared" si="266"/>
        <v>-</v>
      </c>
      <c r="AG51" s="52" t="str">
        <f t="shared" si="267"/>
        <v>-</v>
      </c>
      <c r="AH51" s="52" t="str">
        <f t="shared" si="268"/>
        <v>-</v>
      </c>
      <c r="AI51" s="52" t="str">
        <f t="shared" si="269"/>
        <v>-</v>
      </c>
      <c r="AJ51" s="52" t="str">
        <f t="shared" si="270"/>
        <v>-</v>
      </c>
      <c r="AK51" s="52" t="str">
        <f t="shared" si="271"/>
        <v>-</v>
      </c>
      <c r="AL51" s="52" t="str">
        <f t="shared" si="272"/>
        <v>-</v>
      </c>
      <c r="AM51" s="53" t="str">
        <f t="shared" si="273"/>
        <v>-</v>
      </c>
      <c r="AN51" s="51" t="str">
        <f t="shared" si="274"/>
        <v>-</v>
      </c>
      <c r="AO51" s="52" t="str">
        <f t="shared" si="275"/>
        <v>-</v>
      </c>
      <c r="AP51" s="52" t="str">
        <f t="shared" si="276"/>
        <v>-</v>
      </c>
      <c r="AQ51" s="52" t="str">
        <f t="shared" si="277"/>
        <v>-</v>
      </c>
      <c r="AR51" s="52" t="str">
        <f t="shared" si="278"/>
        <v>-</v>
      </c>
      <c r="AS51" s="52" t="str">
        <f t="shared" si="279"/>
        <v>-</v>
      </c>
      <c r="AT51" s="52" t="str">
        <f t="shared" si="280"/>
        <v>-</v>
      </c>
      <c r="AU51" s="52" t="str">
        <f t="shared" si="281"/>
        <v>-</v>
      </c>
      <c r="AV51" s="52" t="str">
        <f t="shared" si="282"/>
        <v>-</v>
      </c>
      <c r="AW51" s="52" t="str">
        <f t="shared" si="283"/>
        <v>-</v>
      </c>
      <c r="AX51" s="52" t="str">
        <f t="shared" si="284"/>
        <v>-</v>
      </c>
      <c r="AY51" s="52" t="str">
        <f t="shared" si="285"/>
        <v>-</v>
      </c>
      <c r="AZ51" s="52" t="str">
        <f t="shared" si="286"/>
        <v>-</v>
      </c>
      <c r="BA51" s="52" t="str">
        <f t="shared" si="287"/>
        <v>-</v>
      </c>
      <c r="BB51" s="52" t="str">
        <f t="shared" si="288"/>
        <v>-</v>
      </c>
      <c r="BC51" s="52" t="str">
        <f t="shared" si="289"/>
        <v>-</v>
      </c>
      <c r="BD51" s="52" t="str">
        <f t="shared" si="290"/>
        <v>-</v>
      </c>
      <c r="BE51" s="53" t="str">
        <f t="shared" si="291"/>
        <v>-</v>
      </c>
      <c r="BF51" s="51" t="str">
        <f t="shared" si="292"/>
        <v>-</v>
      </c>
      <c r="BG51" s="52" t="str">
        <f t="shared" si="293"/>
        <v>-</v>
      </c>
      <c r="BH51" s="52" t="str">
        <f t="shared" si="294"/>
        <v>-</v>
      </c>
      <c r="BI51" s="52" t="str">
        <f t="shared" si="295"/>
        <v>-</v>
      </c>
      <c r="BJ51" s="52" t="str">
        <f t="shared" si="296"/>
        <v>-</v>
      </c>
      <c r="BK51" s="52" t="str">
        <f t="shared" si="297"/>
        <v>-</v>
      </c>
      <c r="BL51" s="52" t="str">
        <f t="shared" si="298"/>
        <v>-</v>
      </c>
      <c r="BM51" s="52" t="str">
        <f t="shared" si="299"/>
        <v>-</v>
      </c>
      <c r="BN51" s="52">
        <f t="shared" si="300"/>
        <v>55.52</v>
      </c>
      <c r="BO51" s="52" t="str">
        <f t="shared" si="301"/>
        <v>-</v>
      </c>
      <c r="BP51" s="52" t="str">
        <f t="shared" si="302"/>
        <v>-</v>
      </c>
      <c r="BQ51" s="52" t="str">
        <f t="shared" si="303"/>
        <v>-</v>
      </c>
      <c r="BR51" s="52" t="str">
        <f t="shared" si="304"/>
        <v>-</v>
      </c>
      <c r="BS51" s="52" t="str">
        <f t="shared" si="305"/>
        <v>-</v>
      </c>
      <c r="BT51" s="52" t="str">
        <f t="shared" si="306"/>
        <v>-</v>
      </c>
      <c r="BU51" s="52" t="str">
        <f t="shared" si="307"/>
        <v>-</v>
      </c>
      <c r="BV51" s="52" t="str">
        <f t="shared" si="308"/>
        <v>-</v>
      </c>
      <c r="BW51" s="53" t="str">
        <f t="shared" si="309"/>
        <v>-</v>
      </c>
      <c r="BX51" s="51" t="str">
        <f t="shared" si="310"/>
        <v>-</v>
      </c>
      <c r="BY51" s="52" t="str">
        <f t="shared" si="311"/>
        <v>-</v>
      </c>
      <c r="BZ51" s="52" t="str">
        <f t="shared" si="312"/>
        <v>-</v>
      </c>
      <c r="CA51" s="52" t="str">
        <f t="shared" si="313"/>
        <v>-</v>
      </c>
      <c r="CB51" s="52" t="str">
        <f t="shared" si="314"/>
        <v>-</v>
      </c>
      <c r="CC51" s="52" t="str">
        <f t="shared" si="315"/>
        <v>-</v>
      </c>
      <c r="CD51" s="52" t="str">
        <f t="shared" si="316"/>
        <v>-</v>
      </c>
      <c r="CE51" s="52" t="str">
        <f t="shared" si="317"/>
        <v>-</v>
      </c>
      <c r="CF51" s="52" t="str">
        <f t="shared" si="318"/>
        <v>-</v>
      </c>
      <c r="CG51" s="52" t="str">
        <f t="shared" si="319"/>
        <v>-</v>
      </c>
      <c r="CH51" s="52" t="str">
        <f t="shared" si="320"/>
        <v>-</v>
      </c>
      <c r="CI51" s="52" t="str">
        <f t="shared" si="321"/>
        <v>-</v>
      </c>
      <c r="CJ51" s="52" t="str">
        <f t="shared" si="322"/>
        <v>-</v>
      </c>
      <c r="CK51" s="52" t="str">
        <f t="shared" si="323"/>
        <v>-</v>
      </c>
      <c r="CL51" s="52" t="str">
        <f t="shared" si="324"/>
        <v>-</v>
      </c>
      <c r="CM51" s="52" t="str">
        <f t="shared" si="325"/>
        <v>-</v>
      </c>
      <c r="CN51" s="52" t="str">
        <f t="shared" si="326"/>
        <v>-</v>
      </c>
      <c r="CO51" s="53" t="str">
        <f t="shared" si="327"/>
        <v>-</v>
      </c>
      <c r="CQ51" s="305" t="str">
        <f t="shared" si="126"/>
        <v>-</v>
      </c>
      <c r="CR51" s="305" t="str">
        <f t="shared" si="127"/>
        <v>-</v>
      </c>
      <c r="CS51" s="305" t="str">
        <f t="shared" si="128"/>
        <v>-</v>
      </c>
      <c r="CT51" s="305">
        <f t="shared" si="129"/>
        <v>57.12</v>
      </c>
      <c r="CU51" s="305" t="str">
        <f t="shared" si="130"/>
        <v>-</v>
      </c>
      <c r="CV51" s="305" t="str">
        <f t="shared" si="131"/>
        <v>-</v>
      </c>
      <c r="CX51" s="51">
        <f t="shared" si="208"/>
        <v>55.92</v>
      </c>
      <c r="CY51" s="52" t="str">
        <f t="shared" si="209"/>
        <v>-</v>
      </c>
      <c r="CZ51" s="53" t="str">
        <f t="shared" si="210"/>
        <v>-</v>
      </c>
      <c r="DA51" s="51" t="str">
        <f t="shared" si="211"/>
        <v>-</v>
      </c>
      <c r="DB51" s="52" t="str">
        <f t="shared" si="212"/>
        <v>-</v>
      </c>
      <c r="DC51" s="53" t="str">
        <f t="shared" si="213"/>
        <v>-</v>
      </c>
      <c r="DD51" s="57"/>
      <c r="DE51" s="106" t="str">
        <f t="shared" si="214"/>
        <v>-</v>
      </c>
      <c r="DF51" s="107" t="str">
        <f t="shared" si="215"/>
        <v>-</v>
      </c>
      <c r="DG51" s="107" t="str">
        <f t="shared" si="216"/>
        <v>-</v>
      </c>
      <c r="DH51" s="107" t="str">
        <f t="shared" si="217"/>
        <v>-</v>
      </c>
      <c r="DI51" s="107">
        <f t="shared" si="218"/>
        <v>55.92</v>
      </c>
      <c r="DJ51" s="107" t="str">
        <f t="shared" si="219"/>
        <v>-</v>
      </c>
      <c r="DK51" s="107" t="str">
        <f t="shared" si="220"/>
        <v>-</v>
      </c>
      <c r="DL51" s="107" t="str">
        <f t="shared" si="221"/>
        <v>-</v>
      </c>
      <c r="DM51" s="108" t="str">
        <f t="shared" si="222"/>
        <v>-</v>
      </c>
      <c r="DO51" s="106" t="str">
        <f t="shared" si="223"/>
        <v>-</v>
      </c>
      <c r="DP51" s="107" t="str">
        <f t="shared" si="224"/>
        <v>-</v>
      </c>
      <c r="DQ51" s="107" t="str">
        <f t="shared" si="225"/>
        <v>-</v>
      </c>
      <c r="DR51" s="107" t="str">
        <f t="shared" si="226"/>
        <v>-</v>
      </c>
      <c r="DS51" s="107">
        <f t="shared" si="227"/>
        <v>55.92</v>
      </c>
      <c r="DT51" s="107" t="str">
        <f t="shared" si="228"/>
        <v>-</v>
      </c>
      <c r="DU51" s="107" t="str">
        <f t="shared" si="229"/>
        <v>-</v>
      </c>
      <c r="DV51" s="107" t="str">
        <f t="shared" si="230"/>
        <v>-</v>
      </c>
      <c r="DW51" s="108" t="str">
        <f t="shared" si="231"/>
        <v>-</v>
      </c>
      <c r="DX51" s="109" t="str">
        <f t="shared" si="232"/>
        <v>-</v>
      </c>
      <c r="DY51" s="110" t="str">
        <f t="shared" si="233"/>
        <v>-</v>
      </c>
      <c r="DZ51" s="110" t="str">
        <f t="shared" si="234"/>
        <v>-</v>
      </c>
      <c r="EA51" s="110" t="str">
        <f t="shared" si="235"/>
        <v>-</v>
      </c>
      <c r="EB51" s="110" t="str">
        <f t="shared" si="236"/>
        <v>-</v>
      </c>
      <c r="EC51" s="110" t="str">
        <f t="shared" si="237"/>
        <v>-</v>
      </c>
      <c r="ED51" s="110" t="str">
        <f t="shared" si="238"/>
        <v>-</v>
      </c>
      <c r="EE51" s="110" t="str">
        <f t="shared" si="239"/>
        <v>-</v>
      </c>
      <c r="EF51" s="111" t="str">
        <f t="shared" si="240"/>
        <v>-</v>
      </c>
      <c r="EG51" s="109" t="str">
        <f t="shared" si="241"/>
        <v>-</v>
      </c>
      <c r="EH51" s="110" t="str">
        <f t="shared" si="242"/>
        <v>-</v>
      </c>
      <c r="EI51" s="110" t="str">
        <f t="shared" si="243"/>
        <v>-</v>
      </c>
      <c r="EJ51" s="110" t="str">
        <f t="shared" si="244"/>
        <v>-</v>
      </c>
      <c r="EK51" s="110" t="str">
        <f t="shared" si="245"/>
        <v>-</v>
      </c>
      <c r="EL51" s="110" t="str">
        <f t="shared" si="246"/>
        <v>-</v>
      </c>
      <c r="EM51" s="110" t="str">
        <f t="shared" si="247"/>
        <v>-</v>
      </c>
      <c r="EN51" s="110" t="str">
        <f t="shared" si="248"/>
        <v>-</v>
      </c>
      <c r="EO51" s="111" t="str">
        <f t="shared" si="249"/>
        <v>-</v>
      </c>
      <c r="EQ51" s="118" t="str">
        <f t="shared" si="250"/>
        <v>-</v>
      </c>
      <c r="ER51" s="119">
        <f t="shared" si="251"/>
        <v>55.92</v>
      </c>
      <c r="ES51" s="120" t="str">
        <f t="shared" si="252"/>
        <v>-</v>
      </c>
      <c r="ET51" s="90">
        <v>2</v>
      </c>
      <c r="EU51" s="118" t="str">
        <f t="shared" si="253"/>
        <v>-</v>
      </c>
      <c r="EV51" s="119">
        <f t="shared" si="254"/>
        <v>2</v>
      </c>
      <c r="EW51" s="120" t="str">
        <f t="shared" si="255"/>
        <v>-</v>
      </c>
    </row>
    <row r="52" spans="1:153" ht="15.75" thickBot="1" x14ac:dyDescent="0.3">
      <c r="A52" s="41"/>
      <c r="B52" s="171" t="s">
        <v>485</v>
      </c>
      <c r="C52" s="171" t="s">
        <v>489</v>
      </c>
      <c r="D52" s="42">
        <f>VLOOKUP(B52,'BASE DE DATOS'!$B$3:$E$106,2,FALSE)</f>
        <v>34.92</v>
      </c>
      <c r="E52" s="42">
        <f>VLOOKUP(B52,'BASE DE DATOS'!$B$3:$E$106,4,FALSE)</f>
        <v>2.7899999999999991</v>
      </c>
      <c r="F52" s="42">
        <f>VLOOKUP(C52,'BASE DE DATOS'!$B$3:$E$106,2,FALSE)</f>
        <v>34.409999999999997</v>
      </c>
      <c r="G52" s="42">
        <f>VLOOKUP(C52,'BASE DE DATOS'!$B$3:$E$106,4,FALSE)</f>
        <v>1.7899999999999991</v>
      </c>
      <c r="H52" s="43">
        <f t="shared" si="135"/>
        <v>2.2899999999999991</v>
      </c>
      <c r="I52" s="171">
        <v>44.35</v>
      </c>
      <c r="J52" s="44">
        <f t="shared" si="132"/>
        <v>44.36</v>
      </c>
      <c r="K52" s="40">
        <f t="shared" si="133"/>
        <v>42.75</v>
      </c>
      <c r="L52" s="40">
        <f t="shared" si="134"/>
        <v>43.15</v>
      </c>
      <c r="M52" s="44">
        <f t="shared" si="124"/>
        <v>200</v>
      </c>
      <c r="N52" s="40">
        <f t="shared" si="125"/>
        <v>44.35</v>
      </c>
      <c r="O52" s="171" t="s">
        <v>120</v>
      </c>
      <c r="P52" s="19">
        <v>187.6</v>
      </c>
      <c r="Q52" s="171" t="s">
        <v>123</v>
      </c>
      <c r="R52" s="171" t="s">
        <v>133</v>
      </c>
      <c r="S52" s="171" t="s">
        <v>148</v>
      </c>
      <c r="T52" s="171" t="s">
        <v>149</v>
      </c>
      <c r="V52" s="51" t="str">
        <f t="shared" si="256"/>
        <v>-</v>
      </c>
      <c r="W52" s="52" t="str">
        <f t="shared" si="257"/>
        <v>-</v>
      </c>
      <c r="X52" s="52" t="str">
        <f t="shared" si="258"/>
        <v>-</v>
      </c>
      <c r="Y52" s="52" t="str">
        <f t="shared" si="259"/>
        <v>-</v>
      </c>
      <c r="Z52" s="52" t="str">
        <f t="shared" si="260"/>
        <v>-</v>
      </c>
      <c r="AA52" s="52" t="str">
        <f t="shared" si="261"/>
        <v>-</v>
      </c>
      <c r="AB52" s="52" t="str">
        <f t="shared" si="262"/>
        <v>-</v>
      </c>
      <c r="AC52" s="52" t="str">
        <f t="shared" si="263"/>
        <v>-</v>
      </c>
      <c r="AD52" s="52" t="str">
        <f t="shared" si="264"/>
        <v>-</v>
      </c>
      <c r="AE52" s="52" t="str">
        <f t="shared" si="265"/>
        <v>-</v>
      </c>
      <c r="AF52" s="52" t="str">
        <f t="shared" si="266"/>
        <v>-</v>
      </c>
      <c r="AG52" s="52" t="str">
        <f t="shared" si="267"/>
        <v>-</v>
      </c>
      <c r="AH52" s="52" t="str">
        <f t="shared" si="268"/>
        <v>-</v>
      </c>
      <c r="AI52" s="52" t="str">
        <f t="shared" si="269"/>
        <v>-</v>
      </c>
      <c r="AJ52" s="52" t="str">
        <f t="shared" si="270"/>
        <v>-</v>
      </c>
      <c r="AK52" s="52" t="str">
        <f t="shared" si="271"/>
        <v>-</v>
      </c>
      <c r="AL52" s="52" t="str">
        <f t="shared" si="272"/>
        <v>-</v>
      </c>
      <c r="AM52" s="53" t="str">
        <f t="shared" si="273"/>
        <v>-</v>
      </c>
      <c r="AN52" s="51" t="str">
        <f t="shared" si="274"/>
        <v>-</v>
      </c>
      <c r="AO52" s="52" t="str">
        <f t="shared" si="275"/>
        <v>-</v>
      </c>
      <c r="AP52" s="52" t="str">
        <f t="shared" si="276"/>
        <v>-</v>
      </c>
      <c r="AQ52" s="52" t="str">
        <f t="shared" si="277"/>
        <v>-</v>
      </c>
      <c r="AR52" s="52" t="str">
        <f t="shared" si="278"/>
        <v>-</v>
      </c>
      <c r="AS52" s="52" t="str">
        <f t="shared" si="279"/>
        <v>-</v>
      </c>
      <c r="AT52" s="52" t="str">
        <f t="shared" si="280"/>
        <v>-</v>
      </c>
      <c r="AU52" s="52" t="str">
        <f t="shared" si="281"/>
        <v>-</v>
      </c>
      <c r="AV52" s="52" t="str">
        <f t="shared" si="282"/>
        <v>-</v>
      </c>
      <c r="AW52" s="52" t="str">
        <f t="shared" si="283"/>
        <v>-</v>
      </c>
      <c r="AX52" s="52" t="str">
        <f t="shared" si="284"/>
        <v>-</v>
      </c>
      <c r="AY52" s="52" t="str">
        <f t="shared" si="285"/>
        <v>-</v>
      </c>
      <c r="AZ52" s="52" t="str">
        <f t="shared" si="286"/>
        <v>-</v>
      </c>
      <c r="BA52" s="52" t="str">
        <f t="shared" si="287"/>
        <v>-</v>
      </c>
      <c r="BB52" s="52" t="str">
        <f t="shared" si="288"/>
        <v>-</v>
      </c>
      <c r="BC52" s="52" t="str">
        <f t="shared" si="289"/>
        <v>-</v>
      </c>
      <c r="BD52" s="52" t="str">
        <f t="shared" si="290"/>
        <v>-</v>
      </c>
      <c r="BE52" s="53" t="str">
        <f t="shared" si="291"/>
        <v>-</v>
      </c>
      <c r="BF52" s="51" t="str">
        <f t="shared" si="292"/>
        <v>-</v>
      </c>
      <c r="BG52" s="52" t="str">
        <f t="shared" si="293"/>
        <v>-</v>
      </c>
      <c r="BH52" s="52" t="str">
        <f t="shared" si="294"/>
        <v>-</v>
      </c>
      <c r="BI52" s="52" t="str">
        <f t="shared" si="295"/>
        <v>-</v>
      </c>
      <c r="BJ52" s="52" t="str">
        <f t="shared" si="296"/>
        <v>-</v>
      </c>
      <c r="BK52" s="52" t="str">
        <f t="shared" si="297"/>
        <v>-</v>
      </c>
      <c r="BL52" s="52" t="str">
        <f t="shared" si="298"/>
        <v>-</v>
      </c>
      <c r="BM52" s="52" t="str">
        <f t="shared" si="299"/>
        <v>-</v>
      </c>
      <c r="BN52" s="52" t="str">
        <f t="shared" si="300"/>
        <v>-</v>
      </c>
      <c r="BO52" s="52">
        <f t="shared" si="301"/>
        <v>42.75</v>
      </c>
      <c r="BP52" s="52" t="str">
        <f t="shared" si="302"/>
        <v>-</v>
      </c>
      <c r="BQ52" s="52" t="str">
        <f t="shared" si="303"/>
        <v>-</v>
      </c>
      <c r="BR52" s="52" t="str">
        <f t="shared" si="304"/>
        <v>-</v>
      </c>
      <c r="BS52" s="52" t="str">
        <f t="shared" si="305"/>
        <v>-</v>
      </c>
      <c r="BT52" s="52" t="str">
        <f t="shared" si="306"/>
        <v>-</v>
      </c>
      <c r="BU52" s="52" t="str">
        <f t="shared" si="307"/>
        <v>-</v>
      </c>
      <c r="BV52" s="52" t="str">
        <f t="shared" si="308"/>
        <v>-</v>
      </c>
      <c r="BW52" s="53" t="str">
        <f t="shared" si="309"/>
        <v>-</v>
      </c>
      <c r="BX52" s="51" t="str">
        <f t="shared" si="310"/>
        <v>-</v>
      </c>
      <c r="BY52" s="52" t="str">
        <f t="shared" si="311"/>
        <v>-</v>
      </c>
      <c r="BZ52" s="52" t="str">
        <f t="shared" si="312"/>
        <v>-</v>
      </c>
      <c r="CA52" s="52" t="str">
        <f t="shared" si="313"/>
        <v>-</v>
      </c>
      <c r="CB52" s="52" t="str">
        <f t="shared" si="314"/>
        <v>-</v>
      </c>
      <c r="CC52" s="52" t="str">
        <f t="shared" si="315"/>
        <v>-</v>
      </c>
      <c r="CD52" s="52" t="str">
        <f t="shared" si="316"/>
        <v>-</v>
      </c>
      <c r="CE52" s="52" t="str">
        <f t="shared" si="317"/>
        <v>-</v>
      </c>
      <c r="CF52" s="52" t="str">
        <f t="shared" si="318"/>
        <v>-</v>
      </c>
      <c r="CG52" s="52" t="str">
        <f t="shared" si="319"/>
        <v>-</v>
      </c>
      <c r="CH52" s="52" t="str">
        <f t="shared" si="320"/>
        <v>-</v>
      </c>
      <c r="CI52" s="52" t="str">
        <f t="shared" si="321"/>
        <v>-</v>
      </c>
      <c r="CJ52" s="52" t="str">
        <f t="shared" si="322"/>
        <v>-</v>
      </c>
      <c r="CK52" s="52" t="str">
        <f t="shared" si="323"/>
        <v>-</v>
      </c>
      <c r="CL52" s="52" t="str">
        <f t="shared" si="324"/>
        <v>-</v>
      </c>
      <c r="CM52" s="52" t="str">
        <f t="shared" si="325"/>
        <v>-</v>
      </c>
      <c r="CN52" s="52" t="str">
        <f t="shared" si="326"/>
        <v>-</v>
      </c>
      <c r="CO52" s="53" t="str">
        <f t="shared" si="327"/>
        <v>-</v>
      </c>
      <c r="CQ52" s="305" t="str">
        <f t="shared" si="126"/>
        <v>-</v>
      </c>
      <c r="CR52" s="305" t="str">
        <f t="shared" si="127"/>
        <v>-</v>
      </c>
      <c r="CS52" s="305" t="str">
        <f t="shared" si="128"/>
        <v>-</v>
      </c>
      <c r="CT52" s="305">
        <f t="shared" si="129"/>
        <v>44.35</v>
      </c>
      <c r="CU52" s="305" t="str">
        <f t="shared" si="130"/>
        <v>-</v>
      </c>
      <c r="CV52" s="305" t="str">
        <f t="shared" si="131"/>
        <v>-</v>
      </c>
      <c r="CX52" s="51" t="str">
        <f t="shared" si="208"/>
        <v>-</v>
      </c>
      <c r="CY52" s="52">
        <f t="shared" si="209"/>
        <v>43.15</v>
      </c>
      <c r="CZ52" s="53" t="str">
        <f t="shared" si="210"/>
        <v>-</v>
      </c>
      <c r="DA52" s="51" t="str">
        <f t="shared" si="211"/>
        <v>-</v>
      </c>
      <c r="DB52" s="52" t="str">
        <f t="shared" si="212"/>
        <v>-</v>
      </c>
      <c r="DC52" s="53" t="str">
        <f t="shared" si="213"/>
        <v>-</v>
      </c>
      <c r="DD52" s="57"/>
      <c r="DE52" s="106" t="str">
        <f t="shared" si="214"/>
        <v>-</v>
      </c>
      <c r="DF52" s="107" t="str">
        <f t="shared" si="215"/>
        <v>-</v>
      </c>
      <c r="DG52" s="107" t="str">
        <f t="shared" si="216"/>
        <v>-</v>
      </c>
      <c r="DH52" s="107" t="str">
        <f t="shared" si="217"/>
        <v>-</v>
      </c>
      <c r="DI52" s="107" t="str">
        <f t="shared" si="218"/>
        <v>-</v>
      </c>
      <c r="DJ52" s="107" t="str">
        <f t="shared" si="219"/>
        <v>-</v>
      </c>
      <c r="DK52" s="107" t="str">
        <f t="shared" si="220"/>
        <v>-</v>
      </c>
      <c r="DL52" s="107" t="str">
        <f t="shared" si="221"/>
        <v>-</v>
      </c>
      <c r="DM52" s="108" t="str">
        <f t="shared" si="222"/>
        <v>-</v>
      </c>
      <c r="DO52" s="106" t="str">
        <f t="shared" si="223"/>
        <v>-</v>
      </c>
      <c r="DP52" s="107" t="str">
        <f t="shared" si="224"/>
        <v>-</v>
      </c>
      <c r="DQ52" s="107" t="str">
        <f t="shared" si="225"/>
        <v>-</v>
      </c>
      <c r="DR52" s="107" t="str">
        <f t="shared" si="226"/>
        <v>-</v>
      </c>
      <c r="DS52" s="107" t="str">
        <f t="shared" si="227"/>
        <v>-</v>
      </c>
      <c r="DT52" s="107" t="str">
        <f t="shared" si="228"/>
        <v>-</v>
      </c>
      <c r="DU52" s="107" t="str">
        <f t="shared" si="229"/>
        <v>-</v>
      </c>
      <c r="DV52" s="107" t="str">
        <f t="shared" si="230"/>
        <v>-</v>
      </c>
      <c r="DW52" s="108" t="str">
        <f t="shared" si="231"/>
        <v>-</v>
      </c>
      <c r="DX52" s="109" t="str">
        <f t="shared" si="232"/>
        <v>-</v>
      </c>
      <c r="DY52" s="110" t="str">
        <f t="shared" si="233"/>
        <v>-</v>
      </c>
      <c r="DZ52" s="110" t="str">
        <f t="shared" si="234"/>
        <v>-</v>
      </c>
      <c r="EA52" s="110">
        <f t="shared" si="235"/>
        <v>44.35</v>
      </c>
      <c r="EB52" s="110" t="str">
        <f t="shared" si="236"/>
        <v>-</v>
      </c>
      <c r="EC52" s="110" t="str">
        <f t="shared" si="237"/>
        <v>-</v>
      </c>
      <c r="ED52" s="110" t="str">
        <f t="shared" si="238"/>
        <v>-</v>
      </c>
      <c r="EE52" s="110" t="str">
        <f t="shared" si="239"/>
        <v>-</v>
      </c>
      <c r="EF52" s="111" t="str">
        <f t="shared" si="240"/>
        <v>-</v>
      </c>
      <c r="EG52" s="109" t="str">
        <f t="shared" si="241"/>
        <v>-</v>
      </c>
      <c r="EH52" s="110" t="str">
        <f t="shared" si="242"/>
        <v>-</v>
      </c>
      <c r="EI52" s="110" t="str">
        <f t="shared" si="243"/>
        <v>-</v>
      </c>
      <c r="EJ52" s="110" t="str">
        <f t="shared" si="244"/>
        <v>-</v>
      </c>
      <c r="EK52" s="110" t="str">
        <f t="shared" si="245"/>
        <v>-</v>
      </c>
      <c r="EL52" s="110" t="str">
        <f t="shared" si="246"/>
        <v>-</v>
      </c>
      <c r="EM52" s="110" t="str">
        <f t="shared" si="247"/>
        <v>-</v>
      </c>
      <c r="EN52" s="110" t="str">
        <f t="shared" si="248"/>
        <v>-</v>
      </c>
      <c r="EO52" s="111" t="str">
        <f t="shared" si="249"/>
        <v>-</v>
      </c>
      <c r="EQ52" s="118">
        <f t="shared" si="250"/>
        <v>43.15</v>
      </c>
      <c r="ER52" s="119" t="str">
        <f t="shared" si="251"/>
        <v>-</v>
      </c>
      <c r="ES52" s="120" t="str">
        <f t="shared" si="252"/>
        <v>-</v>
      </c>
      <c r="ET52" s="90">
        <v>2</v>
      </c>
      <c r="EU52" s="118">
        <f t="shared" si="253"/>
        <v>2</v>
      </c>
      <c r="EV52" s="119" t="str">
        <f t="shared" si="254"/>
        <v>-</v>
      </c>
      <c r="EW52" s="120" t="str">
        <f t="shared" si="255"/>
        <v>-</v>
      </c>
    </row>
    <row r="53" spans="1:153" ht="15.75" thickBot="1" x14ac:dyDescent="0.3">
      <c r="A53" s="41"/>
      <c r="B53" s="171" t="s">
        <v>489</v>
      </c>
      <c r="C53" s="171" t="s">
        <v>491</v>
      </c>
      <c r="D53" s="42">
        <f>VLOOKUP(B53,'BASE DE DATOS'!$B$3:$E$106,2,FALSE)</f>
        <v>34.409999999999997</v>
      </c>
      <c r="E53" s="42">
        <f>VLOOKUP(B53,'BASE DE DATOS'!$B$3:$E$106,4,FALSE)</f>
        <v>1.7899999999999991</v>
      </c>
      <c r="F53" s="42">
        <f>VLOOKUP(C53,'BASE DE DATOS'!$B$3:$E$106,2,FALSE)</f>
        <v>33.9</v>
      </c>
      <c r="G53" s="42">
        <f>VLOOKUP(C53,'BASE DE DATOS'!$B$3:$E$106,4,FALSE)</f>
        <v>2.1999999999999993</v>
      </c>
      <c r="H53" s="43">
        <f t="shared" si="135"/>
        <v>1.9949999999999992</v>
      </c>
      <c r="I53" s="171">
        <v>59.57</v>
      </c>
      <c r="J53" s="44">
        <f t="shared" si="132"/>
        <v>59.57</v>
      </c>
      <c r="K53" s="40">
        <f t="shared" si="133"/>
        <v>57.98</v>
      </c>
      <c r="L53" s="40">
        <f t="shared" si="134"/>
        <v>58.38</v>
      </c>
      <c r="M53" s="44">
        <f t="shared" si="124"/>
        <v>200</v>
      </c>
      <c r="N53" s="40">
        <f t="shared" si="125"/>
        <v>59.57</v>
      </c>
      <c r="O53" s="171" t="s">
        <v>120</v>
      </c>
      <c r="P53" s="19">
        <v>187.6</v>
      </c>
      <c r="Q53" s="171" t="s">
        <v>123</v>
      </c>
      <c r="R53" s="171" t="s">
        <v>133</v>
      </c>
      <c r="S53" s="171" t="s">
        <v>148</v>
      </c>
      <c r="T53" s="171" t="s">
        <v>149</v>
      </c>
      <c r="V53" s="51" t="str">
        <f t="shared" si="256"/>
        <v>-</v>
      </c>
      <c r="W53" s="52" t="str">
        <f t="shared" si="257"/>
        <v>-</v>
      </c>
      <c r="X53" s="52" t="str">
        <f t="shared" si="258"/>
        <v>-</v>
      </c>
      <c r="Y53" s="52" t="str">
        <f t="shared" si="259"/>
        <v>-</v>
      </c>
      <c r="Z53" s="52" t="str">
        <f t="shared" si="260"/>
        <v>-</v>
      </c>
      <c r="AA53" s="52" t="str">
        <f t="shared" si="261"/>
        <v>-</v>
      </c>
      <c r="AB53" s="52" t="str">
        <f t="shared" si="262"/>
        <v>-</v>
      </c>
      <c r="AC53" s="52" t="str">
        <f t="shared" si="263"/>
        <v>-</v>
      </c>
      <c r="AD53" s="52" t="str">
        <f t="shared" si="264"/>
        <v>-</v>
      </c>
      <c r="AE53" s="52" t="str">
        <f t="shared" si="265"/>
        <v>-</v>
      </c>
      <c r="AF53" s="52" t="str">
        <f t="shared" si="266"/>
        <v>-</v>
      </c>
      <c r="AG53" s="52" t="str">
        <f t="shared" si="267"/>
        <v>-</v>
      </c>
      <c r="AH53" s="52" t="str">
        <f t="shared" si="268"/>
        <v>-</v>
      </c>
      <c r="AI53" s="52" t="str">
        <f t="shared" si="269"/>
        <v>-</v>
      </c>
      <c r="AJ53" s="52" t="str">
        <f t="shared" si="270"/>
        <v>-</v>
      </c>
      <c r="AK53" s="52" t="str">
        <f t="shared" si="271"/>
        <v>-</v>
      </c>
      <c r="AL53" s="52" t="str">
        <f t="shared" si="272"/>
        <v>-</v>
      </c>
      <c r="AM53" s="53" t="str">
        <f t="shared" si="273"/>
        <v>-</v>
      </c>
      <c r="AN53" s="51" t="str">
        <f t="shared" si="274"/>
        <v>-</v>
      </c>
      <c r="AO53" s="52" t="str">
        <f t="shared" si="275"/>
        <v>-</v>
      </c>
      <c r="AP53" s="52" t="str">
        <f t="shared" si="276"/>
        <v>-</v>
      </c>
      <c r="AQ53" s="52" t="str">
        <f t="shared" si="277"/>
        <v>-</v>
      </c>
      <c r="AR53" s="52" t="str">
        <f t="shared" si="278"/>
        <v>-</v>
      </c>
      <c r="AS53" s="52" t="str">
        <f t="shared" si="279"/>
        <v>-</v>
      </c>
      <c r="AT53" s="52" t="str">
        <f t="shared" si="280"/>
        <v>-</v>
      </c>
      <c r="AU53" s="52" t="str">
        <f t="shared" si="281"/>
        <v>-</v>
      </c>
      <c r="AV53" s="52" t="str">
        <f t="shared" si="282"/>
        <v>-</v>
      </c>
      <c r="AW53" s="52" t="str">
        <f t="shared" si="283"/>
        <v>-</v>
      </c>
      <c r="AX53" s="52" t="str">
        <f t="shared" si="284"/>
        <v>-</v>
      </c>
      <c r="AY53" s="52" t="str">
        <f t="shared" si="285"/>
        <v>-</v>
      </c>
      <c r="AZ53" s="52" t="str">
        <f t="shared" si="286"/>
        <v>-</v>
      </c>
      <c r="BA53" s="52" t="str">
        <f t="shared" si="287"/>
        <v>-</v>
      </c>
      <c r="BB53" s="52" t="str">
        <f t="shared" si="288"/>
        <v>-</v>
      </c>
      <c r="BC53" s="52" t="str">
        <f t="shared" si="289"/>
        <v>-</v>
      </c>
      <c r="BD53" s="52" t="str">
        <f t="shared" si="290"/>
        <v>-</v>
      </c>
      <c r="BE53" s="53" t="str">
        <f t="shared" si="291"/>
        <v>-</v>
      </c>
      <c r="BF53" s="51" t="str">
        <f t="shared" si="292"/>
        <v>-</v>
      </c>
      <c r="BG53" s="52" t="str">
        <f t="shared" si="293"/>
        <v>-</v>
      </c>
      <c r="BH53" s="52" t="str">
        <f t="shared" si="294"/>
        <v>-</v>
      </c>
      <c r="BI53" s="52" t="str">
        <f t="shared" si="295"/>
        <v>-</v>
      </c>
      <c r="BJ53" s="52" t="str">
        <f t="shared" si="296"/>
        <v>-</v>
      </c>
      <c r="BK53" s="52" t="str">
        <f t="shared" si="297"/>
        <v>-</v>
      </c>
      <c r="BL53" s="52" t="str">
        <f t="shared" si="298"/>
        <v>-</v>
      </c>
      <c r="BM53" s="52">
        <f t="shared" si="299"/>
        <v>57.98</v>
      </c>
      <c r="BN53" s="52" t="str">
        <f t="shared" si="300"/>
        <v>-</v>
      </c>
      <c r="BO53" s="52" t="str">
        <f t="shared" si="301"/>
        <v>-</v>
      </c>
      <c r="BP53" s="52" t="str">
        <f t="shared" si="302"/>
        <v>-</v>
      </c>
      <c r="BQ53" s="52" t="str">
        <f t="shared" si="303"/>
        <v>-</v>
      </c>
      <c r="BR53" s="52" t="str">
        <f t="shared" si="304"/>
        <v>-</v>
      </c>
      <c r="BS53" s="52" t="str">
        <f t="shared" si="305"/>
        <v>-</v>
      </c>
      <c r="BT53" s="52" t="str">
        <f t="shared" si="306"/>
        <v>-</v>
      </c>
      <c r="BU53" s="52" t="str">
        <f t="shared" si="307"/>
        <v>-</v>
      </c>
      <c r="BV53" s="52" t="str">
        <f t="shared" si="308"/>
        <v>-</v>
      </c>
      <c r="BW53" s="53" t="str">
        <f t="shared" si="309"/>
        <v>-</v>
      </c>
      <c r="BX53" s="51" t="str">
        <f t="shared" si="310"/>
        <v>-</v>
      </c>
      <c r="BY53" s="52" t="str">
        <f t="shared" si="311"/>
        <v>-</v>
      </c>
      <c r="BZ53" s="52" t="str">
        <f t="shared" si="312"/>
        <v>-</v>
      </c>
      <c r="CA53" s="52" t="str">
        <f t="shared" si="313"/>
        <v>-</v>
      </c>
      <c r="CB53" s="52" t="str">
        <f t="shared" si="314"/>
        <v>-</v>
      </c>
      <c r="CC53" s="52" t="str">
        <f t="shared" si="315"/>
        <v>-</v>
      </c>
      <c r="CD53" s="52" t="str">
        <f t="shared" si="316"/>
        <v>-</v>
      </c>
      <c r="CE53" s="52" t="str">
        <f t="shared" si="317"/>
        <v>-</v>
      </c>
      <c r="CF53" s="52" t="str">
        <f t="shared" si="318"/>
        <v>-</v>
      </c>
      <c r="CG53" s="52" t="str">
        <f t="shared" si="319"/>
        <v>-</v>
      </c>
      <c r="CH53" s="52" t="str">
        <f t="shared" si="320"/>
        <v>-</v>
      </c>
      <c r="CI53" s="52" t="str">
        <f t="shared" si="321"/>
        <v>-</v>
      </c>
      <c r="CJ53" s="52" t="str">
        <f t="shared" si="322"/>
        <v>-</v>
      </c>
      <c r="CK53" s="52" t="str">
        <f t="shared" si="323"/>
        <v>-</v>
      </c>
      <c r="CL53" s="52" t="str">
        <f t="shared" si="324"/>
        <v>-</v>
      </c>
      <c r="CM53" s="52" t="str">
        <f t="shared" si="325"/>
        <v>-</v>
      </c>
      <c r="CN53" s="52" t="str">
        <f t="shared" si="326"/>
        <v>-</v>
      </c>
      <c r="CO53" s="53" t="str">
        <f t="shared" si="327"/>
        <v>-</v>
      </c>
      <c r="CQ53" s="305" t="str">
        <f t="shared" si="126"/>
        <v>-</v>
      </c>
      <c r="CR53" s="305" t="str">
        <f t="shared" si="127"/>
        <v>-</v>
      </c>
      <c r="CS53" s="305" t="str">
        <f t="shared" si="128"/>
        <v>-</v>
      </c>
      <c r="CT53" s="305">
        <f t="shared" si="129"/>
        <v>59.57</v>
      </c>
      <c r="CU53" s="305" t="str">
        <f t="shared" si="130"/>
        <v>-</v>
      </c>
      <c r="CV53" s="305" t="str">
        <f t="shared" si="131"/>
        <v>-</v>
      </c>
      <c r="CX53" s="51" t="str">
        <f t="shared" si="208"/>
        <v>-</v>
      </c>
      <c r="CY53" s="52">
        <f t="shared" si="209"/>
        <v>58.38</v>
      </c>
      <c r="CZ53" s="53" t="str">
        <f t="shared" si="210"/>
        <v>-</v>
      </c>
      <c r="DA53" s="51" t="str">
        <f t="shared" si="211"/>
        <v>-</v>
      </c>
      <c r="DB53" s="52" t="str">
        <f t="shared" si="212"/>
        <v>-</v>
      </c>
      <c r="DC53" s="53" t="str">
        <f t="shared" si="213"/>
        <v>-</v>
      </c>
      <c r="DD53" s="57"/>
      <c r="DE53" s="106" t="str">
        <f t="shared" si="214"/>
        <v>-</v>
      </c>
      <c r="DF53" s="107" t="str">
        <f t="shared" si="215"/>
        <v>-</v>
      </c>
      <c r="DG53" s="107" t="str">
        <f t="shared" si="216"/>
        <v>-</v>
      </c>
      <c r="DH53" s="107" t="str">
        <f t="shared" si="217"/>
        <v>-</v>
      </c>
      <c r="DI53" s="107" t="str">
        <f t="shared" si="218"/>
        <v>-</v>
      </c>
      <c r="DJ53" s="107" t="str">
        <f t="shared" si="219"/>
        <v>-</v>
      </c>
      <c r="DK53" s="107" t="str">
        <f t="shared" si="220"/>
        <v>-</v>
      </c>
      <c r="DL53" s="107" t="str">
        <f t="shared" si="221"/>
        <v>-</v>
      </c>
      <c r="DM53" s="108" t="str">
        <f t="shared" si="222"/>
        <v>-</v>
      </c>
      <c r="DO53" s="106" t="str">
        <f t="shared" si="223"/>
        <v>-</v>
      </c>
      <c r="DP53" s="107" t="str">
        <f t="shared" si="224"/>
        <v>-</v>
      </c>
      <c r="DQ53" s="107" t="str">
        <f t="shared" si="225"/>
        <v>-</v>
      </c>
      <c r="DR53" s="107" t="str">
        <f t="shared" si="226"/>
        <v>-</v>
      </c>
      <c r="DS53" s="107" t="str">
        <f t="shared" si="227"/>
        <v>-</v>
      </c>
      <c r="DT53" s="107" t="str">
        <f t="shared" si="228"/>
        <v>-</v>
      </c>
      <c r="DU53" s="107" t="str">
        <f t="shared" si="229"/>
        <v>-</v>
      </c>
      <c r="DV53" s="107" t="str">
        <f t="shared" si="230"/>
        <v>-</v>
      </c>
      <c r="DW53" s="108" t="str">
        <f t="shared" si="231"/>
        <v>-</v>
      </c>
      <c r="DX53" s="109" t="str">
        <f t="shared" si="232"/>
        <v>-</v>
      </c>
      <c r="DY53" s="110" t="str">
        <f t="shared" si="233"/>
        <v>-</v>
      </c>
      <c r="DZ53" s="110" t="str">
        <f t="shared" si="234"/>
        <v>-</v>
      </c>
      <c r="EA53" s="110">
        <f t="shared" si="235"/>
        <v>59.57</v>
      </c>
      <c r="EB53" s="110" t="str">
        <f t="shared" si="236"/>
        <v>-</v>
      </c>
      <c r="EC53" s="110" t="str">
        <f t="shared" si="237"/>
        <v>-</v>
      </c>
      <c r="ED53" s="110" t="str">
        <f t="shared" si="238"/>
        <v>-</v>
      </c>
      <c r="EE53" s="110" t="str">
        <f t="shared" si="239"/>
        <v>-</v>
      </c>
      <c r="EF53" s="111" t="str">
        <f t="shared" si="240"/>
        <v>-</v>
      </c>
      <c r="EG53" s="109" t="str">
        <f t="shared" si="241"/>
        <v>-</v>
      </c>
      <c r="EH53" s="110" t="str">
        <f t="shared" si="242"/>
        <v>-</v>
      </c>
      <c r="EI53" s="110" t="str">
        <f t="shared" si="243"/>
        <v>-</v>
      </c>
      <c r="EJ53" s="110" t="str">
        <f t="shared" si="244"/>
        <v>-</v>
      </c>
      <c r="EK53" s="110" t="str">
        <f t="shared" si="245"/>
        <v>-</v>
      </c>
      <c r="EL53" s="110" t="str">
        <f t="shared" si="246"/>
        <v>-</v>
      </c>
      <c r="EM53" s="110" t="str">
        <f t="shared" si="247"/>
        <v>-</v>
      </c>
      <c r="EN53" s="110" t="str">
        <f t="shared" si="248"/>
        <v>-</v>
      </c>
      <c r="EO53" s="111" t="str">
        <f t="shared" si="249"/>
        <v>-</v>
      </c>
      <c r="EQ53" s="118">
        <f t="shared" si="250"/>
        <v>58.38</v>
      </c>
      <c r="ER53" s="119" t="str">
        <f t="shared" si="251"/>
        <v>-</v>
      </c>
      <c r="ES53" s="120" t="str">
        <f t="shared" si="252"/>
        <v>-</v>
      </c>
      <c r="ET53" s="90">
        <v>2</v>
      </c>
      <c r="EU53" s="118">
        <f t="shared" si="253"/>
        <v>2</v>
      </c>
      <c r="EV53" s="119" t="str">
        <f t="shared" si="254"/>
        <v>-</v>
      </c>
      <c r="EW53" s="120" t="str">
        <f t="shared" si="255"/>
        <v>-</v>
      </c>
    </row>
    <row r="54" spans="1:153" ht="15.75" thickBot="1" x14ac:dyDescent="0.3">
      <c r="A54" s="41"/>
      <c r="B54" s="171" t="s">
        <v>490</v>
      </c>
      <c r="C54" s="171" t="s">
        <v>491</v>
      </c>
      <c r="D54" s="42">
        <f>VLOOKUP(B54,'BASE DE DATOS'!$B$3:$E$106,2,FALSE)</f>
        <v>34.049999999999997</v>
      </c>
      <c r="E54" s="42">
        <f>VLOOKUP(B54,'BASE DE DATOS'!$B$3:$E$106,4,FALSE)</f>
        <v>1</v>
      </c>
      <c r="F54" s="42">
        <f>VLOOKUP(C54,'BASE DE DATOS'!$B$3:$E$106,2,FALSE)</f>
        <v>33.9</v>
      </c>
      <c r="G54" s="42">
        <f>VLOOKUP(C54,'BASE DE DATOS'!$B$3:$E$106,4,FALSE)</f>
        <v>2.1999999999999993</v>
      </c>
      <c r="H54" s="43">
        <f t="shared" si="135"/>
        <v>1.5999999999999996</v>
      </c>
      <c r="I54" s="171">
        <v>19</v>
      </c>
      <c r="J54" s="44">
        <f t="shared" si="132"/>
        <v>19.04</v>
      </c>
      <c r="K54" s="40">
        <f t="shared" si="133"/>
        <v>17.45</v>
      </c>
      <c r="L54" s="40">
        <f t="shared" si="134"/>
        <v>17.850000000000001</v>
      </c>
      <c r="M54" s="40">
        <f t="shared" si="124"/>
        <v>200</v>
      </c>
      <c r="N54" s="40">
        <f t="shared" si="125"/>
        <v>19</v>
      </c>
      <c r="O54" s="171" t="s">
        <v>120</v>
      </c>
      <c r="P54" s="19">
        <v>187.6</v>
      </c>
      <c r="Q54" s="171" t="s">
        <v>123</v>
      </c>
      <c r="R54" s="171" t="s">
        <v>133</v>
      </c>
      <c r="S54" s="171" t="s">
        <v>148</v>
      </c>
      <c r="T54" s="171" t="s">
        <v>149</v>
      </c>
      <c r="V54" s="51" t="str">
        <f t="shared" si="256"/>
        <v>-</v>
      </c>
      <c r="W54" s="52" t="str">
        <f t="shared" si="257"/>
        <v>-</v>
      </c>
      <c r="X54" s="52" t="str">
        <f t="shared" si="258"/>
        <v>-</v>
      </c>
      <c r="Y54" s="52" t="str">
        <f t="shared" si="259"/>
        <v>-</v>
      </c>
      <c r="Z54" s="52" t="str">
        <f t="shared" si="260"/>
        <v>-</v>
      </c>
      <c r="AA54" s="52" t="str">
        <f t="shared" si="261"/>
        <v>-</v>
      </c>
      <c r="AB54" s="52" t="str">
        <f t="shared" si="262"/>
        <v>-</v>
      </c>
      <c r="AC54" s="52" t="str">
        <f t="shared" si="263"/>
        <v>-</v>
      </c>
      <c r="AD54" s="52" t="str">
        <f t="shared" si="264"/>
        <v>-</v>
      </c>
      <c r="AE54" s="52" t="str">
        <f t="shared" si="265"/>
        <v>-</v>
      </c>
      <c r="AF54" s="52" t="str">
        <f t="shared" si="266"/>
        <v>-</v>
      </c>
      <c r="AG54" s="52" t="str">
        <f t="shared" si="267"/>
        <v>-</v>
      </c>
      <c r="AH54" s="52" t="str">
        <f t="shared" si="268"/>
        <v>-</v>
      </c>
      <c r="AI54" s="52" t="str">
        <f t="shared" si="269"/>
        <v>-</v>
      </c>
      <c r="AJ54" s="52" t="str">
        <f t="shared" si="270"/>
        <v>-</v>
      </c>
      <c r="AK54" s="52" t="str">
        <f t="shared" si="271"/>
        <v>-</v>
      </c>
      <c r="AL54" s="52" t="str">
        <f t="shared" si="272"/>
        <v>-</v>
      </c>
      <c r="AM54" s="53" t="str">
        <f t="shared" si="273"/>
        <v>-</v>
      </c>
      <c r="AN54" s="51" t="str">
        <f t="shared" si="274"/>
        <v>-</v>
      </c>
      <c r="AO54" s="52" t="str">
        <f t="shared" si="275"/>
        <v>-</v>
      </c>
      <c r="AP54" s="52" t="str">
        <f t="shared" si="276"/>
        <v>-</v>
      </c>
      <c r="AQ54" s="52" t="str">
        <f t="shared" si="277"/>
        <v>-</v>
      </c>
      <c r="AR54" s="52" t="str">
        <f t="shared" si="278"/>
        <v>-</v>
      </c>
      <c r="AS54" s="52" t="str">
        <f t="shared" si="279"/>
        <v>-</v>
      </c>
      <c r="AT54" s="52" t="str">
        <f t="shared" si="280"/>
        <v>-</v>
      </c>
      <c r="AU54" s="52" t="str">
        <f t="shared" si="281"/>
        <v>-</v>
      </c>
      <c r="AV54" s="52" t="str">
        <f t="shared" si="282"/>
        <v>-</v>
      </c>
      <c r="AW54" s="52" t="str">
        <f t="shared" si="283"/>
        <v>-</v>
      </c>
      <c r="AX54" s="52" t="str">
        <f t="shared" si="284"/>
        <v>-</v>
      </c>
      <c r="AY54" s="52" t="str">
        <f t="shared" si="285"/>
        <v>-</v>
      </c>
      <c r="AZ54" s="52" t="str">
        <f t="shared" si="286"/>
        <v>-</v>
      </c>
      <c r="BA54" s="52" t="str">
        <f t="shared" si="287"/>
        <v>-</v>
      </c>
      <c r="BB54" s="52" t="str">
        <f t="shared" si="288"/>
        <v>-</v>
      </c>
      <c r="BC54" s="52" t="str">
        <f t="shared" si="289"/>
        <v>-</v>
      </c>
      <c r="BD54" s="52" t="str">
        <f t="shared" si="290"/>
        <v>-</v>
      </c>
      <c r="BE54" s="53" t="str">
        <f t="shared" si="291"/>
        <v>-</v>
      </c>
      <c r="BF54" s="51" t="str">
        <f t="shared" si="292"/>
        <v>-</v>
      </c>
      <c r="BG54" s="52" t="str">
        <f t="shared" si="293"/>
        <v>-</v>
      </c>
      <c r="BH54" s="52" t="str">
        <f t="shared" si="294"/>
        <v>-</v>
      </c>
      <c r="BI54" s="52" t="str">
        <f t="shared" si="295"/>
        <v>-</v>
      </c>
      <c r="BJ54" s="52" t="str">
        <f t="shared" si="296"/>
        <v>-</v>
      </c>
      <c r="BK54" s="52">
        <f t="shared" si="297"/>
        <v>17.45</v>
      </c>
      <c r="BL54" s="52" t="str">
        <f t="shared" si="298"/>
        <v>-</v>
      </c>
      <c r="BM54" s="52" t="str">
        <f t="shared" si="299"/>
        <v>-</v>
      </c>
      <c r="BN54" s="52" t="str">
        <f t="shared" si="300"/>
        <v>-</v>
      </c>
      <c r="BO54" s="52" t="str">
        <f t="shared" si="301"/>
        <v>-</v>
      </c>
      <c r="BP54" s="52" t="str">
        <f t="shared" si="302"/>
        <v>-</v>
      </c>
      <c r="BQ54" s="52" t="str">
        <f t="shared" si="303"/>
        <v>-</v>
      </c>
      <c r="BR54" s="52" t="str">
        <f t="shared" si="304"/>
        <v>-</v>
      </c>
      <c r="BS54" s="52" t="str">
        <f t="shared" si="305"/>
        <v>-</v>
      </c>
      <c r="BT54" s="52" t="str">
        <f t="shared" si="306"/>
        <v>-</v>
      </c>
      <c r="BU54" s="52" t="str">
        <f t="shared" si="307"/>
        <v>-</v>
      </c>
      <c r="BV54" s="52" t="str">
        <f t="shared" si="308"/>
        <v>-</v>
      </c>
      <c r="BW54" s="53" t="str">
        <f t="shared" si="309"/>
        <v>-</v>
      </c>
      <c r="BX54" s="51" t="str">
        <f t="shared" si="310"/>
        <v>-</v>
      </c>
      <c r="BY54" s="52" t="str">
        <f t="shared" si="311"/>
        <v>-</v>
      </c>
      <c r="BZ54" s="52" t="str">
        <f t="shared" si="312"/>
        <v>-</v>
      </c>
      <c r="CA54" s="52" t="str">
        <f t="shared" si="313"/>
        <v>-</v>
      </c>
      <c r="CB54" s="52" t="str">
        <f t="shared" si="314"/>
        <v>-</v>
      </c>
      <c r="CC54" s="52" t="str">
        <f t="shared" si="315"/>
        <v>-</v>
      </c>
      <c r="CD54" s="52" t="str">
        <f t="shared" si="316"/>
        <v>-</v>
      </c>
      <c r="CE54" s="52" t="str">
        <f t="shared" si="317"/>
        <v>-</v>
      </c>
      <c r="CF54" s="52" t="str">
        <f t="shared" si="318"/>
        <v>-</v>
      </c>
      <c r="CG54" s="52" t="str">
        <f t="shared" si="319"/>
        <v>-</v>
      </c>
      <c r="CH54" s="52" t="str">
        <f t="shared" si="320"/>
        <v>-</v>
      </c>
      <c r="CI54" s="52" t="str">
        <f t="shared" si="321"/>
        <v>-</v>
      </c>
      <c r="CJ54" s="52" t="str">
        <f t="shared" si="322"/>
        <v>-</v>
      </c>
      <c r="CK54" s="52" t="str">
        <f t="shared" si="323"/>
        <v>-</v>
      </c>
      <c r="CL54" s="52" t="str">
        <f t="shared" si="324"/>
        <v>-</v>
      </c>
      <c r="CM54" s="52" t="str">
        <f t="shared" si="325"/>
        <v>-</v>
      </c>
      <c r="CN54" s="52" t="str">
        <f t="shared" si="326"/>
        <v>-</v>
      </c>
      <c r="CO54" s="53" t="str">
        <f t="shared" si="327"/>
        <v>-</v>
      </c>
      <c r="CQ54" s="305" t="str">
        <f t="shared" si="126"/>
        <v>-</v>
      </c>
      <c r="CR54" s="305" t="str">
        <f t="shared" si="127"/>
        <v>-</v>
      </c>
      <c r="CS54" s="305" t="str">
        <f t="shared" si="128"/>
        <v>-</v>
      </c>
      <c r="CT54" s="305">
        <f t="shared" si="129"/>
        <v>19</v>
      </c>
      <c r="CU54" s="305" t="str">
        <f t="shared" si="130"/>
        <v>-</v>
      </c>
      <c r="CV54" s="305" t="str">
        <f t="shared" si="131"/>
        <v>-</v>
      </c>
      <c r="CX54" s="51" t="str">
        <f t="shared" si="208"/>
        <v>-</v>
      </c>
      <c r="CY54" s="52">
        <f t="shared" si="209"/>
        <v>17.850000000000001</v>
      </c>
      <c r="CZ54" s="53" t="str">
        <f t="shared" si="210"/>
        <v>-</v>
      </c>
      <c r="DA54" s="51" t="str">
        <f t="shared" si="211"/>
        <v>-</v>
      </c>
      <c r="DB54" s="52" t="str">
        <f t="shared" si="212"/>
        <v>-</v>
      </c>
      <c r="DC54" s="53" t="str">
        <f t="shared" si="213"/>
        <v>-</v>
      </c>
      <c r="DD54" s="57"/>
      <c r="DE54" s="106" t="str">
        <f t="shared" si="214"/>
        <v>-</v>
      </c>
      <c r="DF54" s="107" t="str">
        <f t="shared" si="215"/>
        <v>-</v>
      </c>
      <c r="DG54" s="107" t="str">
        <f t="shared" si="216"/>
        <v>-</v>
      </c>
      <c r="DH54" s="107" t="str">
        <f t="shared" si="217"/>
        <v>-</v>
      </c>
      <c r="DI54" s="107" t="str">
        <f t="shared" si="218"/>
        <v>-</v>
      </c>
      <c r="DJ54" s="107" t="str">
        <f t="shared" si="219"/>
        <v>-</v>
      </c>
      <c r="DK54" s="107" t="str">
        <f t="shared" si="220"/>
        <v>-</v>
      </c>
      <c r="DL54" s="107" t="str">
        <f t="shared" si="221"/>
        <v>-</v>
      </c>
      <c r="DM54" s="108" t="str">
        <f t="shared" si="222"/>
        <v>-</v>
      </c>
      <c r="DO54" s="106" t="str">
        <f t="shared" si="223"/>
        <v>-</v>
      </c>
      <c r="DP54" s="107" t="str">
        <f t="shared" si="224"/>
        <v>-</v>
      </c>
      <c r="DQ54" s="107" t="str">
        <f t="shared" si="225"/>
        <v>-</v>
      </c>
      <c r="DR54" s="107" t="str">
        <f t="shared" si="226"/>
        <v>-</v>
      </c>
      <c r="DS54" s="107" t="str">
        <f t="shared" si="227"/>
        <v>-</v>
      </c>
      <c r="DT54" s="107" t="str">
        <f t="shared" si="228"/>
        <v>-</v>
      </c>
      <c r="DU54" s="107" t="str">
        <f t="shared" si="229"/>
        <v>-</v>
      </c>
      <c r="DV54" s="107" t="str">
        <f t="shared" si="230"/>
        <v>-</v>
      </c>
      <c r="DW54" s="108" t="str">
        <f t="shared" si="231"/>
        <v>-</v>
      </c>
      <c r="DX54" s="109" t="str">
        <f t="shared" si="232"/>
        <v>-</v>
      </c>
      <c r="DY54" s="110" t="str">
        <f t="shared" si="233"/>
        <v>-</v>
      </c>
      <c r="DZ54" s="110" t="str">
        <f t="shared" si="234"/>
        <v>-</v>
      </c>
      <c r="EA54" s="110">
        <f t="shared" si="235"/>
        <v>19</v>
      </c>
      <c r="EB54" s="110" t="str">
        <f t="shared" si="236"/>
        <v>-</v>
      </c>
      <c r="EC54" s="110" t="str">
        <f t="shared" si="237"/>
        <v>-</v>
      </c>
      <c r="ED54" s="110" t="str">
        <f t="shared" si="238"/>
        <v>-</v>
      </c>
      <c r="EE54" s="110" t="str">
        <f t="shared" si="239"/>
        <v>-</v>
      </c>
      <c r="EF54" s="111" t="str">
        <f t="shared" si="240"/>
        <v>-</v>
      </c>
      <c r="EG54" s="109" t="str">
        <f t="shared" si="241"/>
        <v>-</v>
      </c>
      <c r="EH54" s="110" t="str">
        <f t="shared" si="242"/>
        <v>-</v>
      </c>
      <c r="EI54" s="110" t="str">
        <f t="shared" si="243"/>
        <v>-</v>
      </c>
      <c r="EJ54" s="110" t="str">
        <f t="shared" si="244"/>
        <v>-</v>
      </c>
      <c r="EK54" s="110" t="str">
        <f t="shared" si="245"/>
        <v>-</v>
      </c>
      <c r="EL54" s="110" t="str">
        <f t="shared" si="246"/>
        <v>-</v>
      </c>
      <c r="EM54" s="110" t="str">
        <f t="shared" si="247"/>
        <v>-</v>
      </c>
      <c r="EN54" s="110" t="str">
        <f t="shared" si="248"/>
        <v>-</v>
      </c>
      <c r="EO54" s="111" t="str">
        <f t="shared" si="249"/>
        <v>-</v>
      </c>
      <c r="EQ54" s="118">
        <f t="shared" si="250"/>
        <v>17.850000000000001</v>
      </c>
      <c r="ER54" s="119" t="str">
        <f t="shared" si="251"/>
        <v>-</v>
      </c>
      <c r="ES54" s="120" t="str">
        <f t="shared" si="252"/>
        <v>-</v>
      </c>
      <c r="ET54" s="90">
        <v>2</v>
      </c>
      <c r="EU54" s="118">
        <f t="shared" si="253"/>
        <v>2</v>
      </c>
      <c r="EV54" s="119" t="str">
        <f t="shared" si="254"/>
        <v>-</v>
      </c>
      <c r="EW54" s="120" t="str">
        <f t="shared" si="255"/>
        <v>-</v>
      </c>
    </row>
    <row r="55" spans="1:153" ht="15.75" thickBot="1" x14ac:dyDescent="0.3">
      <c r="A55" s="41"/>
      <c r="B55" s="171" t="s">
        <v>491</v>
      </c>
      <c r="C55" s="171" t="s">
        <v>492</v>
      </c>
      <c r="D55" s="42">
        <f>VLOOKUP(B55,'BASE DE DATOS'!$B$3:$E$106,2,FALSE)</f>
        <v>33.9</v>
      </c>
      <c r="E55" s="42">
        <f>VLOOKUP(B55,'BASE DE DATOS'!$B$3:$E$106,4,FALSE)</f>
        <v>2.1999999999999993</v>
      </c>
      <c r="F55" s="42">
        <f>VLOOKUP(C55,'BASE DE DATOS'!$B$3:$E$106,2,FALSE)</f>
        <v>33.549999999999997</v>
      </c>
      <c r="G55" s="42">
        <f>VLOOKUP(C55,'BASE DE DATOS'!$B$3:$E$106,4,FALSE)</f>
        <v>2.1699999999999982</v>
      </c>
      <c r="H55" s="43">
        <f t="shared" si="135"/>
        <v>2.1849999999999987</v>
      </c>
      <c r="I55" s="171">
        <v>47.37</v>
      </c>
      <c r="J55" s="44">
        <f t="shared" si="132"/>
        <v>47.37</v>
      </c>
      <c r="K55" s="40">
        <f t="shared" si="133"/>
        <v>45.77</v>
      </c>
      <c r="L55" s="40">
        <f t="shared" si="134"/>
        <v>46.17</v>
      </c>
      <c r="M55" s="44">
        <f t="shared" si="124"/>
        <v>200</v>
      </c>
      <c r="N55" s="40">
        <f t="shared" si="125"/>
        <v>47.37</v>
      </c>
      <c r="O55" s="171" t="s">
        <v>120</v>
      </c>
      <c r="P55" s="19">
        <v>187.6</v>
      </c>
      <c r="Q55" s="171" t="s">
        <v>123</v>
      </c>
      <c r="R55" s="171" t="s">
        <v>133</v>
      </c>
      <c r="S55" s="171" t="s">
        <v>148</v>
      </c>
      <c r="T55" s="171" t="s">
        <v>149</v>
      </c>
      <c r="V55" s="51" t="str">
        <f t="shared" si="256"/>
        <v>-</v>
      </c>
      <c r="W55" s="52" t="str">
        <f t="shared" si="257"/>
        <v>-</v>
      </c>
      <c r="X55" s="52" t="str">
        <f t="shared" si="258"/>
        <v>-</v>
      </c>
      <c r="Y55" s="52" t="str">
        <f t="shared" si="259"/>
        <v>-</v>
      </c>
      <c r="Z55" s="52" t="str">
        <f t="shared" si="260"/>
        <v>-</v>
      </c>
      <c r="AA55" s="52" t="str">
        <f t="shared" si="261"/>
        <v>-</v>
      </c>
      <c r="AB55" s="52" t="str">
        <f t="shared" si="262"/>
        <v>-</v>
      </c>
      <c r="AC55" s="52" t="str">
        <f t="shared" si="263"/>
        <v>-</v>
      </c>
      <c r="AD55" s="52" t="str">
        <f t="shared" si="264"/>
        <v>-</v>
      </c>
      <c r="AE55" s="52" t="str">
        <f t="shared" si="265"/>
        <v>-</v>
      </c>
      <c r="AF55" s="52" t="str">
        <f t="shared" si="266"/>
        <v>-</v>
      </c>
      <c r="AG55" s="52" t="str">
        <f t="shared" si="267"/>
        <v>-</v>
      </c>
      <c r="AH55" s="52" t="str">
        <f t="shared" si="268"/>
        <v>-</v>
      </c>
      <c r="AI55" s="52" t="str">
        <f t="shared" si="269"/>
        <v>-</v>
      </c>
      <c r="AJ55" s="52" t="str">
        <f t="shared" si="270"/>
        <v>-</v>
      </c>
      <c r="AK55" s="52" t="str">
        <f t="shared" si="271"/>
        <v>-</v>
      </c>
      <c r="AL55" s="52" t="str">
        <f t="shared" si="272"/>
        <v>-</v>
      </c>
      <c r="AM55" s="53" t="str">
        <f t="shared" si="273"/>
        <v>-</v>
      </c>
      <c r="AN55" s="51" t="str">
        <f t="shared" si="274"/>
        <v>-</v>
      </c>
      <c r="AO55" s="52" t="str">
        <f t="shared" si="275"/>
        <v>-</v>
      </c>
      <c r="AP55" s="52" t="str">
        <f t="shared" si="276"/>
        <v>-</v>
      </c>
      <c r="AQ55" s="52" t="str">
        <f t="shared" si="277"/>
        <v>-</v>
      </c>
      <c r="AR55" s="52" t="str">
        <f t="shared" si="278"/>
        <v>-</v>
      </c>
      <c r="AS55" s="52" t="str">
        <f t="shared" si="279"/>
        <v>-</v>
      </c>
      <c r="AT55" s="52" t="str">
        <f t="shared" si="280"/>
        <v>-</v>
      </c>
      <c r="AU55" s="52" t="str">
        <f t="shared" si="281"/>
        <v>-</v>
      </c>
      <c r="AV55" s="52" t="str">
        <f t="shared" si="282"/>
        <v>-</v>
      </c>
      <c r="AW55" s="52" t="str">
        <f t="shared" si="283"/>
        <v>-</v>
      </c>
      <c r="AX55" s="52" t="str">
        <f t="shared" si="284"/>
        <v>-</v>
      </c>
      <c r="AY55" s="52" t="str">
        <f t="shared" si="285"/>
        <v>-</v>
      </c>
      <c r="AZ55" s="52" t="str">
        <f t="shared" si="286"/>
        <v>-</v>
      </c>
      <c r="BA55" s="52" t="str">
        <f t="shared" si="287"/>
        <v>-</v>
      </c>
      <c r="BB55" s="52" t="str">
        <f t="shared" si="288"/>
        <v>-</v>
      </c>
      <c r="BC55" s="52" t="str">
        <f t="shared" si="289"/>
        <v>-</v>
      </c>
      <c r="BD55" s="52" t="str">
        <f t="shared" si="290"/>
        <v>-</v>
      </c>
      <c r="BE55" s="53" t="str">
        <f t="shared" si="291"/>
        <v>-</v>
      </c>
      <c r="BF55" s="51" t="str">
        <f t="shared" si="292"/>
        <v>-</v>
      </c>
      <c r="BG55" s="52" t="str">
        <f t="shared" si="293"/>
        <v>-</v>
      </c>
      <c r="BH55" s="52" t="str">
        <f t="shared" si="294"/>
        <v>-</v>
      </c>
      <c r="BI55" s="52" t="str">
        <f t="shared" si="295"/>
        <v>-</v>
      </c>
      <c r="BJ55" s="52" t="str">
        <f t="shared" si="296"/>
        <v>-</v>
      </c>
      <c r="BK55" s="52" t="str">
        <f t="shared" si="297"/>
        <v>-</v>
      </c>
      <c r="BL55" s="52" t="str">
        <f t="shared" si="298"/>
        <v>-</v>
      </c>
      <c r="BM55" s="52" t="str">
        <f t="shared" si="299"/>
        <v>-</v>
      </c>
      <c r="BN55" s="52" t="str">
        <f t="shared" si="300"/>
        <v>-</v>
      </c>
      <c r="BO55" s="52">
        <f t="shared" si="301"/>
        <v>45.77</v>
      </c>
      <c r="BP55" s="52" t="str">
        <f t="shared" si="302"/>
        <v>-</v>
      </c>
      <c r="BQ55" s="52" t="str">
        <f t="shared" si="303"/>
        <v>-</v>
      </c>
      <c r="BR55" s="52" t="str">
        <f t="shared" si="304"/>
        <v>-</v>
      </c>
      <c r="BS55" s="52" t="str">
        <f t="shared" si="305"/>
        <v>-</v>
      </c>
      <c r="BT55" s="52" t="str">
        <f t="shared" si="306"/>
        <v>-</v>
      </c>
      <c r="BU55" s="52" t="str">
        <f t="shared" si="307"/>
        <v>-</v>
      </c>
      <c r="BV55" s="52" t="str">
        <f t="shared" si="308"/>
        <v>-</v>
      </c>
      <c r="BW55" s="53" t="str">
        <f t="shared" si="309"/>
        <v>-</v>
      </c>
      <c r="BX55" s="51" t="str">
        <f t="shared" si="310"/>
        <v>-</v>
      </c>
      <c r="BY55" s="52" t="str">
        <f t="shared" si="311"/>
        <v>-</v>
      </c>
      <c r="BZ55" s="52" t="str">
        <f t="shared" si="312"/>
        <v>-</v>
      </c>
      <c r="CA55" s="52" t="str">
        <f t="shared" si="313"/>
        <v>-</v>
      </c>
      <c r="CB55" s="52" t="str">
        <f t="shared" si="314"/>
        <v>-</v>
      </c>
      <c r="CC55" s="52" t="str">
        <f t="shared" si="315"/>
        <v>-</v>
      </c>
      <c r="CD55" s="52" t="str">
        <f t="shared" si="316"/>
        <v>-</v>
      </c>
      <c r="CE55" s="52" t="str">
        <f t="shared" si="317"/>
        <v>-</v>
      </c>
      <c r="CF55" s="52" t="str">
        <f t="shared" si="318"/>
        <v>-</v>
      </c>
      <c r="CG55" s="52" t="str">
        <f t="shared" si="319"/>
        <v>-</v>
      </c>
      <c r="CH55" s="52" t="str">
        <f t="shared" si="320"/>
        <v>-</v>
      </c>
      <c r="CI55" s="52" t="str">
        <f t="shared" si="321"/>
        <v>-</v>
      </c>
      <c r="CJ55" s="52" t="str">
        <f t="shared" si="322"/>
        <v>-</v>
      </c>
      <c r="CK55" s="52" t="str">
        <f t="shared" si="323"/>
        <v>-</v>
      </c>
      <c r="CL55" s="52" t="str">
        <f t="shared" si="324"/>
        <v>-</v>
      </c>
      <c r="CM55" s="52" t="str">
        <f t="shared" si="325"/>
        <v>-</v>
      </c>
      <c r="CN55" s="52" t="str">
        <f t="shared" si="326"/>
        <v>-</v>
      </c>
      <c r="CO55" s="53" t="str">
        <f t="shared" si="327"/>
        <v>-</v>
      </c>
      <c r="CQ55" s="305" t="str">
        <f t="shared" si="126"/>
        <v>-</v>
      </c>
      <c r="CR55" s="305" t="str">
        <f t="shared" si="127"/>
        <v>-</v>
      </c>
      <c r="CS55" s="305" t="str">
        <f t="shared" si="128"/>
        <v>-</v>
      </c>
      <c r="CT55" s="305">
        <f t="shared" si="129"/>
        <v>47.37</v>
      </c>
      <c r="CU55" s="305" t="str">
        <f t="shared" si="130"/>
        <v>-</v>
      </c>
      <c r="CV55" s="305" t="str">
        <f t="shared" si="131"/>
        <v>-</v>
      </c>
      <c r="CX55" s="51" t="str">
        <f t="shared" si="208"/>
        <v>-</v>
      </c>
      <c r="CY55" s="52">
        <f t="shared" si="209"/>
        <v>46.17</v>
      </c>
      <c r="CZ55" s="53" t="str">
        <f t="shared" si="210"/>
        <v>-</v>
      </c>
      <c r="DA55" s="51" t="str">
        <f t="shared" si="211"/>
        <v>-</v>
      </c>
      <c r="DB55" s="52" t="str">
        <f t="shared" si="212"/>
        <v>-</v>
      </c>
      <c r="DC55" s="53" t="str">
        <f t="shared" si="213"/>
        <v>-</v>
      </c>
      <c r="DD55" s="57"/>
      <c r="DE55" s="106" t="str">
        <f t="shared" si="214"/>
        <v>-</v>
      </c>
      <c r="DF55" s="107" t="str">
        <f t="shared" si="215"/>
        <v>-</v>
      </c>
      <c r="DG55" s="107" t="str">
        <f t="shared" si="216"/>
        <v>-</v>
      </c>
      <c r="DH55" s="107" t="str">
        <f t="shared" si="217"/>
        <v>-</v>
      </c>
      <c r="DI55" s="107" t="str">
        <f t="shared" si="218"/>
        <v>-</v>
      </c>
      <c r="DJ55" s="107" t="str">
        <f t="shared" si="219"/>
        <v>-</v>
      </c>
      <c r="DK55" s="107" t="str">
        <f t="shared" si="220"/>
        <v>-</v>
      </c>
      <c r="DL55" s="107" t="str">
        <f t="shared" si="221"/>
        <v>-</v>
      </c>
      <c r="DM55" s="108" t="str">
        <f t="shared" si="222"/>
        <v>-</v>
      </c>
      <c r="DO55" s="106" t="str">
        <f t="shared" si="223"/>
        <v>-</v>
      </c>
      <c r="DP55" s="107" t="str">
        <f t="shared" si="224"/>
        <v>-</v>
      </c>
      <c r="DQ55" s="107" t="str">
        <f t="shared" si="225"/>
        <v>-</v>
      </c>
      <c r="DR55" s="107" t="str">
        <f t="shared" si="226"/>
        <v>-</v>
      </c>
      <c r="DS55" s="107" t="str">
        <f t="shared" si="227"/>
        <v>-</v>
      </c>
      <c r="DT55" s="107" t="str">
        <f t="shared" si="228"/>
        <v>-</v>
      </c>
      <c r="DU55" s="107" t="str">
        <f t="shared" si="229"/>
        <v>-</v>
      </c>
      <c r="DV55" s="107" t="str">
        <f t="shared" si="230"/>
        <v>-</v>
      </c>
      <c r="DW55" s="108" t="str">
        <f t="shared" si="231"/>
        <v>-</v>
      </c>
      <c r="DX55" s="109" t="str">
        <f t="shared" si="232"/>
        <v>-</v>
      </c>
      <c r="DY55" s="110" t="str">
        <f t="shared" si="233"/>
        <v>-</v>
      </c>
      <c r="DZ55" s="110" t="str">
        <f t="shared" si="234"/>
        <v>-</v>
      </c>
      <c r="EA55" s="110">
        <f t="shared" si="235"/>
        <v>47.37</v>
      </c>
      <c r="EB55" s="110" t="str">
        <f t="shared" si="236"/>
        <v>-</v>
      </c>
      <c r="EC55" s="110" t="str">
        <f t="shared" si="237"/>
        <v>-</v>
      </c>
      <c r="ED55" s="110" t="str">
        <f t="shared" si="238"/>
        <v>-</v>
      </c>
      <c r="EE55" s="110" t="str">
        <f t="shared" si="239"/>
        <v>-</v>
      </c>
      <c r="EF55" s="111" t="str">
        <f t="shared" si="240"/>
        <v>-</v>
      </c>
      <c r="EG55" s="109" t="str">
        <f t="shared" si="241"/>
        <v>-</v>
      </c>
      <c r="EH55" s="110" t="str">
        <f t="shared" si="242"/>
        <v>-</v>
      </c>
      <c r="EI55" s="110" t="str">
        <f t="shared" si="243"/>
        <v>-</v>
      </c>
      <c r="EJ55" s="110" t="str">
        <f t="shared" si="244"/>
        <v>-</v>
      </c>
      <c r="EK55" s="110" t="str">
        <f t="shared" si="245"/>
        <v>-</v>
      </c>
      <c r="EL55" s="110" t="str">
        <f t="shared" si="246"/>
        <v>-</v>
      </c>
      <c r="EM55" s="110" t="str">
        <f t="shared" si="247"/>
        <v>-</v>
      </c>
      <c r="EN55" s="110" t="str">
        <f t="shared" si="248"/>
        <v>-</v>
      </c>
      <c r="EO55" s="111" t="str">
        <f t="shared" si="249"/>
        <v>-</v>
      </c>
      <c r="EQ55" s="118">
        <f t="shared" si="250"/>
        <v>46.17</v>
      </c>
      <c r="ER55" s="119" t="str">
        <f t="shared" si="251"/>
        <v>-</v>
      </c>
      <c r="ES55" s="120" t="str">
        <f t="shared" si="252"/>
        <v>-</v>
      </c>
      <c r="ET55" s="90">
        <v>2</v>
      </c>
      <c r="EU55" s="118">
        <f t="shared" si="253"/>
        <v>2</v>
      </c>
      <c r="EV55" s="119" t="str">
        <f t="shared" si="254"/>
        <v>-</v>
      </c>
      <c r="EW55" s="120" t="str">
        <f t="shared" si="255"/>
        <v>-</v>
      </c>
    </row>
    <row r="56" spans="1:153" ht="15.75" thickBot="1" x14ac:dyDescent="0.3">
      <c r="A56" s="41"/>
      <c r="B56" s="171" t="s">
        <v>492</v>
      </c>
      <c r="C56" s="171" t="s">
        <v>494</v>
      </c>
      <c r="D56" s="42">
        <f>VLOOKUP(B56,'BASE DE DATOS'!$B$3:$E$106,2,FALSE)</f>
        <v>33.549999999999997</v>
      </c>
      <c r="E56" s="42">
        <f>VLOOKUP(B56,'BASE DE DATOS'!$B$3:$E$106,4,FALSE)</f>
        <v>2.1699999999999982</v>
      </c>
      <c r="F56" s="42">
        <f>VLOOKUP(C56,'BASE DE DATOS'!$B$3:$E$106,2,FALSE)</f>
        <v>33.200000000000003</v>
      </c>
      <c r="G56" s="42">
        <f>VLOOKUP(C56,'BASE DE DATOS'!$B$3:$E$106,4,FALSE)</f>
        <v>1.9600000000000044</v>
      </c>
      <c r="H56" s="43">
        <f t="shared" si="135"/>
        <v>2.0650000000000013</v>
      </c>
      <c r="I56" s="171">
        <v>36.93</v>
      </c>
      <c r="J56" s="40">
        <f t="shared" si="132"/>
        <v>36.93</v>
      </c>
      <c r="K56" s="40">
        <f t="shared" si="133"/>
        <v>35.33</v>
      </c>
      <c r="L56" s="40">
        <f t="shared" si="134"/>
        <v>35.729999999999997</v>
      </c>
      <c r="M56" s="44">
        <f t="shared" si="124"/>
        <v>250</v>
      </c>
      <c r="N56" s="40">
        <f t="shared" si="125"/>
        <v>36.93</v>
      </c>
      <c r="O56" s="171" t="s">
        <v>120</v>
      </c>
      <c r="P56" s="19">
        <v>234.6</v>
      </c>
      <c r="Q56" s="171" t="s">
        <v>122</v>
      </c>
      <c r="R56" s="171" t="s">
        <v>133</v>
      </c>
      <c r="S56" s="171" t="s">
        <v>148</v>
      </c>
      <c r="T56" s="171" t="s">
        <v>149</v>
      </c>
      <c r="V56" s="51" t="str">
        <f t="shared" si="256"/>
        <v>-</v>
      </c>
      <c r="W56" s="52" t="str">
        <f t="shared" si="257"/>
        <v>-</v>
      </c>
      <c r="X56" s="52" t="str">
        <f t="shared" si="258"/>
        <v>-</v>
      </c>
      <c r="Y56" s="52" t="str">
        <f t="shared" si="259"/>
        <v>-</v>
      </c>
      <c r="Z56" s="52" t="str">
        <f t="shared" si="260"/>
        <v>-</v>
      </c>
      <c r="AA56" s="52" t="str">
        <f t="shared" si="261"/>
        <v>-</v>
      </c>
      <c r="AB56" s="52" t="str">
        <f t="shared" si="262"/>
        <v>-</v>
      </c>
      <c r="AC56" s="52" t="str">
        <f t="shared" si="263"/>
        <v>-</v>
      </c>
      <c r="AD56" s="52" t="str">
        <f t="shared" si="264"/>
        <v>-</v>
      </c>
      <c r="AE56" s="52" t="str">
        <f t="shared" si="265"/>
        <v>-</v>
      </c>
      <c r="AF56" s="52" t="str">
        <f t="shared" si="266"/>
        <v>-</v>
      </c>
      <c r="AG56" s="52" t="str">
        <f t="shared" si="267"/>
        <v>-</v>
      </c>
      <c r="AH56" s="52" t="str">
        <f t="shared" si="268"/>
        <v>-</v>
      </c>
      <c r="AI56" s="52" t="str">
        <f t="shared" si="269"/>
        <v>-</v>
      </c>
      <c r="AJ56" s="52" t="str">
        <f t="shared" si="270"/>
        <v>-</v>
      </c>
      <c r="AK56" s="52" t="str">
        <f t="shared" si="271"/>
        <v>-</v>
      </c>
      <c r="AL56" s="52" t="str">
        <f t="shared" si="272"/>
        <v>-</v>
      </c>
      <c r="AM56" s="53" t="str">
        <f t="shared" si="273"/>
        <v>-</v>
      </c>
      <c r="AN56" s="51" t="str">
        <f t="shared" si="274"/>
        <v>-</v>
      </c>
      <c r="AO56" s="52" t="str">
        <f t="shared" si="275"/>
        <v>-</v>
      </c>
      <c r="AP56" s="52" t="str">
        <f t="shared" si="276"/>
        <v>-</v>
      </c>
      <c r="AQ56" s="52" t="str">
        <f t="shared" si="277"/>
        <v>-</v>
      </c>
      <c r="AR56" s="52" t="str">
        <f t="shared" si="278"/>
        <v>-</v>
      </c>
      <c r="AS56" s="52" t="str">
        <f t="shared" si="279"/>
        <v>-</v>
      </c>
      <c r="AT56" s="52" t="str">
        <f t="shared" si="280"/>
        <v>-</v>
      </c>
      <c r="AU56" s="52" t="str">
        <f t="shared" si="281"/>
        <v>-</v>
      </c>
      <c r="AV56" s="52" t="str">
        <f t="shared" si="282"/>
        <v>-</v>
      </c>
      <c r="AW56" s="52" t="str">
        <f t="shared" si="283"/>
        <v>-</v>
      </c>
      <c r="AX56" s="52" t="str">
        <f t="shared" si="284"/>
        <v>-</v>
      </c>
      <c r="AY56" s="52" t="str">
        <f t="shared" si="285"/>
        <v>-</v>
      </c>
      <c r="AZ56" s="52" t="str">
        <f t="shared" si="286"/>
        <v>-</v>
      </c>
      <c r="BA56" s="52" t="str">
        <f t="shared" si="287"/>
        <v>-</v>
      </c>
      <c r="BB56" s="52" t="str">
        <f t="shared" si="288"/>
        <v>-</v>
      </c>
      <c r="BC56" s="52" t="str">
        <f t="shared" si="289"/>
        <v>-</v>
      </c>
      <c r="BD56" s="52" t="str">
        <f t="shared" si="290"/>
        <v>-</v>
      </c>
      <c r="BE56" s="53" t="str">
        <f t="shared" si="291"/>
        <v>-</v>
      </c>
      <c r="BF56" s="51" t="str">
        <f t="shared" si="292"/>
        <v>-</v>
      </c>
      <c r="BG56" s="52" t="str">
        <f t="shared" si="293"/>
        <v>-</v>
      </c>
      <c r="BH56" s="52" t="str">
        <f t="shared" si="294"/>
        <v>-</v>
      </c>
      <c r="BI56" s="52" t="str">
        <f t="shared" si="295"/>
        <v>-</v>
      </c>
      <c r="BJ56" s="52" t="str">
        <f t="shared" si="296"/>
        <v>-</v>
      </c>
      <c r="BK56" s="52" t="str">
        <f t="shared" si="297"/>
        <v>-</v>
      </c>
      <c r="BL56" s="52" t="str">
        <f t="shared" si="298"/>
        <v>-</v>
      </c>
      <c r="BM56" s="52" t="str">
        <f t="shared" si="299"/>
        <v>-</v>
      </c>
      <c r="BN56" s="52">
        <f t="shared" si="300"/>
        <v>35.33</v>
      </c>
      <c r="BO56" s="52" t="str">
        <f t="shared" si="301"/>
        <v>-</v>
      </c>
      <c r="BP56" s="52" t="str">
        <f t="shared" si="302"/>
        <v>-</v>
      </c>
      <c r="BQ56" s="52" t="str">
        <f t="shared" si="303"/>
        <v>-</v>
      </c>
      <c r="BR56" s="52" t="str">
        <f t="shared" si="304"/>
        <v>-</v>
      </c>
      <c r="BS56" s="52" t="str">
        <f t="shared" si="305"/>
        <v>-</v>
      </c>
      <c r="BT56" s="52" t="str">
        <f t="shared" si="306"/>
        <v>-</v>
      </c>
      <c r="BU56" s="52" t="str">
        <f t="shared" si="307"/>
        <v>-</v>
      </c>
      <c r="BV56" s="52" t="str">
        <f t="shared" si="308"/>
        <v>-</v>
      </c>
      <c r="BW56" s="53" t="str">
        <f t="shared" si="309"/>
        <v>-</v>
      </c>
      <c r="BX56" s="51" t="str">
        <f t="shared" si="310"/>
        <v>-</v>
      </c>
      <c r="BY56" s="52" t="str">
        <f t="shared" si="311"/>
        <v>-</v>
      </c>
      <c r="BZ56" s="52" t="str">
        <f t="shared" si="312"/>
        <v>-</v>
      </c>
      <c r="CA56" s="52" t="str">
        <f t="shared" si="313"/>
        <v>-</v>
      </c>
      <c r="CB56" s="52" t="str">
        <f t="shared" si="314"/>
        <v>-</v>
      </c>
      <c r="CC56" s="52" t="str">
        <f t="shared" si="315"/>
        <v>-</v>
      </c>
      <c r="CD56" s="52" t="str">
        <f t="shared" si="316"/>
        <v>-</v>
      </c>
      <c r="CE56" s="52" t="str">
        <f t="shared" si="317"/>
        <v>-</v>
      </c>
      <c r="CF56" s="52" t="str">
        <f t="shared" si="318"/>
        <v>-</v>
      </c>
      <c r="CG56" s="52" t="str">
        <f t="shared" si="319"/>
        <v>-</v>
      </c>
      <c r="CH56" s="52" t="str">
        <f t="shared" si="320"/>
        <v>-</v>
      </c>
      <c r="CI56" s="52" t="str">
        <f t="shared" si="321"/>
        <v>-</v>
      </c>
      <c r="CJ56" s="52" t="str">
        <f t="shared" si="322"/>
        <v>-</v>
      </c>
      <c r="CK56" s="52" t="str">
        <f t="shared" si="323"/>
        <v>-</v>
      </c>
      <c r="CL56" s="52" t="str">
        <f t="shared" si="324"/>
        <v>-</v>
      </c>
      <c r="CM56" s="52" t="str">
        <f t="shared" si="325"/>
        <v>-</v>
      </c>
      <c r="CN56" s="52" t="str">
        <f t="shared" si="326"/>
        <v>-</v>
      </c>
      <c r="CO56" s="53" t="str">
        <f t="shared" si="327"/>
        <v>-</v>
      </c>
      <c r="CQ56" s="305" t="str">
        <f t="shared" si="126"/>
        <v>-</v>
      </c>
      <c r="CR56" s="305" t="str">
        <f t="shared" si="127"/>
        <v>-</v>
      </c>
      <c r="CS56" s="305" t="str">
        <f t="shared" si="128"/>
        <v>-</v>
      </c>
      <c r="CT56" s="305">
        <f t="shared" si="129"/>
        <v>36.93</v>
      </c>
      <c r="CU56" s="305" t="str">
        <f t="shared" si="130"/>
        <v>-</v>
      </c>
      <c r="CV56" s="305" t="str">
        <f t="shared" si="131"/>
        <v>-</v>
      </c>
      <c r="CX56" s="51">
        <f t="shared" si="208"/>
        <v>35.729999999999997</v>
      </c>
      <c r="CY56" s="52" t="str">
        <f t="shared" si="209"/>
        <v>-</v>
      </c>
      <c r="CZ56" s="53" t="str">
        <f t="shared" si="210"/>
        <v>-</v>
      </c>
      <c r="DA56" s="51" t="str">
        <f t="shared" si="211"/>
        <v>-</v>
      </c>
      <c r="DB56" s="52" t="str">
        <f t="shared" si="212"/>
        <v>-</v>
      </c>
      <c r="DC56" s="53" t="str">
        <f t="shared" si="213"/>
        <v>-</v>
      </c>
      <c r="DD56" s="57"/>
      <c r="DE56" s="106" t="str">
        <f t="shared" si="214"/>
        <v>-</v>
      </c>
      <c r="DF56" s="107" t="str">
        <f t="shared" si="215"/>
        <v>-</v>
      </c>
      <c r="DG56" s="107" t="str">
        <f t="shared" si="216"/>
        <v>-</v>
      </c>
      <c r="DH56" s="107" t="str">
        <f t="shared" si="217"/>
        <v>-</v>
      </c>
      <c r="DI56" s="107">
        <f t="shared" si="218"/>
        <v>35.729999999999997</v>
      </c>
      <c r="DJ56" s="107" t="str">
        <f t="shared" si="219"/>
        <v>-</v>
      </c>
      <c r="DK56" s="107" t="str">
        <f t="shared" si="220"/>
        <v>-</v>
      </c>
      <c r="DL56" s="107" t="str">
        <f t="shared" si="221"/>
        <v>-</v>
      </c>
      <c r="DM56" s="108" t="str">
        <f t="shared" si="222"/>
        <v>-</v>
      </c>
      <c r="DO56" s="106" t="str">
        <f t="shared" si="223"/>
        <v>-</v>
      </c>
      <c r="DP56" s="107" t="str">
        <f t="shared" si="224"/>
        <v>-</v>
      </c>
      <c r="DQ56" s="107" t="str">
        <f t="shared" si="225"/>
        <v>-</v>
      </c>
      <c r="DR56" s="107" t="str">
        <f t="shared" si="226"/>
        <v>-</v>
      </c>
      <c r="DS56" s="107">
        <f t="shared" si="227"/>
        <v>35.729999999999997</v>
      </c>
      <c r="DT56" s="107" t="str">
        <f t="shared" si="228"/>
        <v>-</v>
      </c>
      <c r="DU56" s="107" t="str">
        <f t="shared" si="229"/>
        <v>-</v>
      </c>
      <c r="DV56" s="107" t="str">
        <f t="shared" si="230"/>
        <v>-</v>
      </c>
      <c r="DW56" s="108" t="str">
        <f t="shared" si="231"/>
        <v>-</v>
      </c>
      <c r="DX56" s="109" t="str">
        <f t="shared" si="232"/>
        <v>-</v>
      </c>
      <c r="DY56" s="110" t="str">
        <f t="shared" si="233"/>
        <v>-</v>
      </c>
      <c r="DZ56" s="110" t="str">
        <f t="shared" si="234"/>
        <v>-</v>
      </c>
      <c r="EA56" s="110" t="str">
        <f t="shared" si="235"/>
        <v>-</v>
      </c>
      <c r="EB56" s="110" t="str">
        <f t="shared" si="236"/>
        <v>-</v>
      </c>
      <c r="EC56" s="110" t="str">
        <f t="shared" si="237"/>
        <v>-</v>
      </c>
      <c r="ED56" s="110" t="str">
        <f t="shared" si="238"/>
        <v>-</v>
      </c>
      <c r="EE56" s="110" t="str">
        <f t="shared" si="239"/>
        <v>-</v>
      </c>
      <c r="EF56" s="111" t="str">
        <f t="shared" si="240"/>
        <v>-</v>
      </c>
      <c r="EG56" s="109" t="str">
        <f t="shared" si="241"/>
        <v>-</v>
      </c>
      <c r="EH56" s="110" t="str">
        <f t="shared" si="242"/>
        <v>-</v>
      </c>
      <c r="EI56" s="110" t="str">
        <f t="shared" si="243"/>
        <v>-</v>
      </c>
      <c r="EJ56" s="110" t="str">
        <f t="shared" si="244"/>
        <v>-</v>
      </c>
      <c r="EK56" s="110" t="str">
        <f t="shared" si="245"/>
        <v>-</v>
      </c>
      <c r="EL56" s="110" t="str">
        <f t="shared" si="246"/>
        <v>-</v>
      </c>
      <c r="EM56" s="110" t="str">
        <f t="shared" si="247"/>
        <v>-</v>
      </c>
      <c r="EN56" s="110" t="str">
        <f t="shared" si="248"/>
        <v>-</v>
      </c>
      <c r="EO56" s="111" t="str">
        <f t="shared" si="249"/>
        <v>-</v>
      </c>
      <c r="EQ56" s="118" t="str">
        <f t="shared" si="250"/>
        <v>-</v>
      </c>
      <c r="ER56" s="119">
        <f t="shared" si="251"/>
        <v>35.729999999999997</v>
      </c>
      <c r="ES56" s="120" t="str">
        <f t="shared" si="252"/>
        <v>-</v>
      </c>
      <c r="ET56" s="90">
        <v>2</v>
      </c>
      <c r="EU56" s="118" t="str">
        <f t="shared" si="253"/>
        <v>-</v>
      </c>
      <c r="EV56" s="119">
        <f t="shared" si="254"/>
        <v>2</v>
      </c>
      <c r="EW56" s="120" t="str">
        <f t="shared" si="255"/>
        <v>-</v>
      </c>
    </row>
    <row r="57" spans="1:153" ht="15.75" thickBot="1" x14ac:dyDescent="0.3">
      <c r="A57" s="41"/>
      <c r="B57" s="171" t="s">
        <v>493</v>
      </c>
      <c r="C57" s="171" t="s">
        <v>494</v>
      </c>
      <c r="D57" s="42">
        <f>VLOOKUP(B57,'BASE DE DATOS'!$B$3:$E$106,2,FALSE)</f>
        <v>33.44</v>
      </c>
      <c r="E57" s="42">
        <f>VLOOKUP(B57,'BASE DE DATOS'!$B$3:$E$106,4,FALSE)</f>
        <v>1.1999999999999957</v>
      </c>
      <c r="F57" s="42">
        <f>VLOOKUP(C57,'BASE DE DATOS'!$B$3:$E$106,2,FALSE)</f>
        <v>33.200000000000003</v>
      </c>
      <c r="G57" s="42">
        <f>VLOOKUP(C57,'BASE DE DATOS'!$B$3:$E$106,4,FALSE)</f>
        <v>1.9600000000000044</v>
      </c>
      <c r="H57" s="43">
        <f t="shared" si="135"/>
        <v>1.58</v>
      </c>
      <c r="I57" s="171">
        <v>53.38</v>
      </c>
      <c r="J57" s="44">
        <f t="shared" si="132"/>
        <v>53.39</v>
      </c>
      <c r="K57" s="40">
        <f t="shared" si="133"/>
        <v>51.79</v>
      </c>
      <c r="L57" s="40">
        <f t="shared" si="134"/>
        <v>52.19</v>
      </c>
      <c r="M57" s="44">
        <f t="shared" si="124"/>
        <v>200</v>
      </c>
      <c r="N57" s="40">
        <f t="shared" si="125"/>
        <v>53.38</v>
      </c>
      <c r="O57" s="171" t="s">
        <v>120</v>
      </c>
      <c r="P57" s="19">
        <v>187.6</v>
      </c>
      <c r="Q57" s="171" t="s">
        <v>122</v>
      </c>
      <c r="R57" s="171" t="s">
        <v>133</v>
      </c>
      <c r="S57" s="171" t="s">
        <v>147</v>
      </c>
      <c r="T57" s="171" t="s">
        <v>146</v>
      </c>
      <c r="V57" s="51" t="str">
        <f t="shared" si="256"/>
        <v>-</v>
      </c>
      <c r="W57" s="52" t="str">
        <f t="shared" si="257"/>
        <v>-</v>
      </c>
      <c r="X57" s="52" t="str">
        <f t="shared" si="258"/>
        <v>-</v>
      </c>
      <c r="Y57" s="52" t="str">
        <f t="shared" si="259"/>
        <v>-</v>
      </c>
      <c r="Z57" s="52">
        <f t="shared" si="260"/>
        <v>51.79</v>
      </c>
      <c r="AA57" s="52" t="str">
        <f t="shared" si="261"/>
        <v>-</v>
      </c>
      <c r="AB57" s="52" t="str">
        <f t="shared" si="262"/>
        <v>-</v>
      </c>
      <c r="AC57" s="52" t="str">
        <f t="shared" si="263"/>
        <v>-</v>
      </c>
      <c r="AD57" s="52" t="str">
        <f t="shared" si="264"/>
        <v>-</v>
      </c>
      <c r="AE57" s="52" t="str">
        <f t="shared" si="265"/>
        <v>-</v>
      </c>
      <c r="AF57" s="52" t="str">
        <f t="shared" si="266"/>
        <v>-</v>
      </c>
      <c r="AG57" s="52" t="str">
        <f t="shared" si="267"/>
        <v>-</v>
      </c>
      <c r="AH57" s="52" t="str">
        <f t="shared" si="268"/>
        <v>-</v>
      </c>
      <c r="AI57" s="52" t="str">
        <f t="shared" si="269"/>
        <v>-</v>
      </c>
      <c r="AJ57" s="52" t="str">
        <f t="shared" si="270"/>
        <v>-</v>
      </c>
      <c r="AK57" s="52" t="str">
        <f t="shared" si="271"/>
        <v>-</v>
      </c>
      <c r="AL57" s="52" t="str">
        <f t="shared" si="272"/>
        <v>-</v>
      </c>
      <c r="AM57" s="53" t="str">
        <f t="shared" si="273"/>
        <v>-</v>
      </c>
      <c r="AN57" s="51" t="str">
        <f t="shared" si="274"/>
        <v>-</v>
      </c>
      <c r="AO57" s="52" t="str">
        <f t="shared" si="275"/>
        <v>-</v>
      </c>
      <c r="AP57" s="52" t="str">
        <f t="shared" si="276"/>
        <v>-</v>
      </c>
      <c r="AQ57" s="52" t="str">
        <f t="shared" si="277"/>
        <v>-</v>
      </c>
      <c r="AR57" s="52" t="str">
        <f t="shared" si="278"/>
        <v>-</v>
      </c>
      <c r="AS57" s="52" t="str">
        <f t="shared" si="279"/>
        <v>-</v>
      </c>
      <c r="AT57" s="52" t="str">
        <f t="shared" si="280"/>
        <v>-</v>
      </c>
      <c r="AU57" s="52" t="str">
        <f t="shared" si="281"/>
        <v>-</v>
      </c>
      <c r="AV57" s="52" t="str">
        <f t="shared" si="282"/>
        <v>-</v>
      </c>
      <c r="AW57" s="52" t="str">
        <f t="shared" si="283"/>
        <v>-</v>
      </c>
      <c r="AX57" s="52" t="str">
        <f t="shared" si="284"/>
        <v>-</v>
      </c>
      <c r="AY57" s="52" t="str">
        <f t="shared" si="285"/>
        <v>-</v>
      </c>
      <c r="AZ57" s="52" t="str">
        <f t="shared" si="286"/>
        <v>-</v>
      </c>
      <c r="BA57" s="52" t="str">
        <f t="shared" si="287"/>
        <v>-</v>
      </c>
      <c r="BB57" s="52" t="str">
        <f t="shared" si="288"/>
        <v>-</v>
      </c>
      <c r="BC57" s="52" t="str">
        <f t="shared" si="289"/>
        <v>-</v>
      </c>
      <c r="BD57" s="52" t="str">
        <f t="shared" si="290"/>
        <v>-</v>
      </c>
      <c r="BE57" s="53" t="str">
        <f t="shared" si="291"/>
        <v>-</v>
      </c>
      <c r="BF57" s="51" t="str">
        <f t="shared" si="292"/>
        <v>-</v>
      </c>
      <c r="BG57" s="52" t="str">
        <f t="shared" si="293"/>
        <v>-</v>
      </c>
      <c r="BH57" s="52" t="str">
        <f t="shared" si="294"/>
        <v>-</v>
      </c>
      <c r="BI57" s="52" t="str">
        <f t="shared" si="295"/>
        <v>-</v>
      </c>
      <c r="BJ57" s="52" t="str">
        <f t="shared" si="296"/>
        <v>-</v>
      </c>
      <c r="BK57" s="52" t="str">
        <f t="shared" si="297"/>
        <v>-</v>
      </c>
      <c r="BL57" s="52" t="str">
        <f t="shared" si="298"/>
        <v>-</v>
      </c>
      <c r="BM57" s="52" t="str">
        <f t="shared" si="299"/>
        <v>-</v>
      </c>
      <c r="BN57" s="52" t="str">
        <f t="shared" si="300"/>
        <v>-</v>
      </c>
      <c r="BO57" s="52" t="str">
        <f t="shared" si="301"/>
        <v>-</v>
      </c>
      <c r="BP57" s="52" t="str">
        <f t="shared" si="302"/>
        <v>-</v>
      </c>
      <c r="BQ57" s="52" t="str">
        <f t="shared" si="303"/>
        <v>-</v>
      </c>
      <c r="BR57" s="52" t="str">
        <f t="shared" si="304"/>
        <v>-</v>
      </c>
      <c r="BS57" s="52" t="str">
        <f t="shared" si="305"/>
        <v>-</v>
      </c>
      <c r="BT57" s="52" t="str">
        <f t="shared" si="306"/>
        <v>-</v>
      </c>
      <c r="BU57" s="52" t="str">
        <f t="shared" si="307"/>
        <v>-</v>
      </c>
      <c r="BV57" s="52" t="str">
        <f t="shared" si="308"/>
        <v>-</v>
      </c>
      <c r="BW57" s="53" t="str">
        <f t="shared" si="309"/>
        <v>-</v>
      </c>
      <c r="BX57" s="51" t="str">
        <f t="shared" si="310"/>
        <v>-</v>
      </c>
      <c r="BY57" s="52" t="str">
        <f t="shared" si="311"/>
        <v>-</v>
      </c>
      <c r="BZ57" s="52" t="str">
        <f t="shared" si="312"/>
        <v>-</v>
      </c>
      <c r="CA57" s="52" t="str">
        <f t="shared" si="313"/>
        <v>-</v>
      </c>
      <c r="CB57" s="52" t="str">
        <f t="shared" si="314"/>
        <v>-</v>
      </c>
      <c r="CC57" s="52" t="str">
        <f t="shared" si="315"/>
        <v>-</v>
      </c>
      <c r="CD57" s="52" t="str">
        <f t="shared" si="316"/>
        <v>-</v>
      </c>
      <c r="CE57" s="52" t="str">
        <f t="shared" si="317"/>
        <v>-</v>
      </c>
      <c r="CF57" s="52" t="str">
        <f t="shared" si="318"/>
        <v>-</v>
      </c>
      <c r="CG57" s="52" t="str">
        <f t="shared" si="319"/>
        <v>-</v>
      </c>
      <c r="CH57" s="52" t="str">
        <f t="shared" si="320"/>
        <v>-</v>
      </c>
      <c r="CI57" s="52" t="str">
        <f t="shared" si="321"/>
        <v>-</v>
      </c>
      <c r="CJ57" s="52" t="str">
        <f t="shared" si="322"/>
        <v>-</v>
      </c>
      <c r="CK57" s="52" t="str">
        <f t="shared" si="323"/>
        <v>-</v>
      </c>
      <c r="CL57" s="52" t="str">
        <f t="shared" si="324"/>
        <v>-</v>
      </c>
      <c r="CM57" s="52" t="str">
        <f t="shared" si="325"/>
        <v>-</v>
      </c>
      <c r="CN57" s="52" t="str">
        <f t="shared" si="326"/>
        <v>-</v>
      </c>
      <c r="CO57" s="53" t="str">
        <f t="shared" si="327"/>
        <v>-</v>
      </c>
      <c r="CQ57" s="305" t="str">
        <f t="shared" si="126"/>
        <v>-</v>
      </c>
      <c r="CR57" s="305">
        <f t="shared" si="127"/>
        <v>53.38</v>
      </c>
      <c r="CS57" s="305" t="str">
        <f t="shared" si="128"/>
        <v>-</v>
      </c>
      <c r="CT57" s="305" t="str">
        <f t="shared" si="129"/>
        <v>-</v>
      </c>
      <c r="CU57" s="305" t="str">
        <f t="shared" si="130"/>
        <v>-</v>
      </c>
      <c r="CV57" s="305" t="str">
        <f t="shared" si="131"/>
        <v>-</v>
      </c>
      <c r="CX57" s="51">
        <f t="shared" si="208"/>
        <v>52.19</v>
      </c>
      <c r="CY57" s="52" t="str">
        <f t="shared" si="209"/>
        <v>-</v>
      </c>
      <c r="CZ57" s="53" t="str">
        <f t="shared" si="210"/>
        <v>-</v>
      </c>
      <c r="DA57" s="51" t="str">
        <f t="shared" si="211"/>
        <v>-</v>
      </c>
      <c r="DB57" s="52" t="str">
        <f t="shared" si="212"/>
        <v>-</v>
      </c>
      <c r="DC57" s="53" t="str">
        <f t="shared" si="213"/>
        <v>-</v>
      </c>
      <c r="DD57" s="57"/>
      <c r="DE57" s="106" t="str">
        <f t="shared" si="214"/>
        <v>-</v>
      </c>
      <c r="DF57" s="107" t="str">
        <f t="shared" si="215"/>
        <v>-</v>
      </c>
      <c r="DG57" s="107" t="str">
        <f t="shared" si="216"/>
        <v>-</v>
      </c>
      <c r="DH57" s="107">
        <f t="shared" si="217"/>
        <v>52.19</v>
      </c>
      <c r="DI57" s="107" t="str">
        <f t="shared" si="218"/>
        <v>-</v>
      </c>
      <c r="DJ57" s="107" t="str">
        <f t="shared" si="219"/>
        <v>-</v>
      </c>
      <c r="DK57" s="107" t="str">
        <f t="shared" si="220"/>
        <v>-</v>
      </c>
      <c r="DL57" s="107" t="str">
        <f t="shared" si="221"/>
        <v>-</v>
      </c>
      <c r="DM57" s="108" t="str">
        <f t="shared" si="222"/>
        <v>-</v>
      </c>
      <c r="DO57" s="106" t="str">
        <f t="shared" si="223"/>
        <v>-</v>
      </c>
      <c r="DP57" s="107" t="str">
        <f t="shared" si="224"/>
        <v>-</v>
      </c>
      <c r="DQ57" s="107" t="str">
        <f t="shared" si="225"/>
        <v>-</v>
      </c>
      <c r="DR57" s="107">
        <f t="shared" si="226"/>
        <v>52.19</v>
      </c>
      <c r="DS57" s="107" t="str">
        <f t="shared" si="227"/>
        <v>-</v>
      </c>
      <c r="DT57" s="107" t="str">
        <f t="shared" si="228"/>
        <v>-</v>
      </c>
      <c r="DU57" s="107" t="str">
        <f t="shared" si="229"/>
        <v>-</v>
      </c>
      <c r="DV57" s="107" t="str">
        <f t="shared" si="230"/>
        <v>-</v>
      </c>
      <c r="DW57" s="108" t="str">
        <f t="shared" si="231"/>
        <v>-</v>
      </c>
      <c r="DX57" s="109" t="str">
        <f t="shared" si="232"/>
        <v>-</v>
      </c>
      <c r="DY57" s="110" t="str">
        <f t="shared" si="233"/>
        <v>-</v>
      </c>
      <c r="DZ57" s="110" t="str">
        <f t="shared" si="234"/>
        <v>-</v>
      </c>
      <c r="EA57" s="110" t="str">
        <f t="shared" si="235"/>
        <v>-</v>
      </c>
      <c r="EB57" s="110" t="str">
        <f t="shared" si="236"/>
        <v>-</v>
      </c>
      <c r="EC57" s="110" t="str">
        <f t="shared" si="237"/>
        <v>-</v>
      </c>
      <c r="ED57" s="110" t="str">
        <f t="shared" si="238"/>
        <v>-</v>
      </c>
      <c r="EE57" s="110" t="str">
        <f t="shared" si="239"/>
        <v>-</v>
      </c>
      <c r="EF57" s="111" t="str">
        <f t="shared" si="240"/>
        <v>-</v>
      </c>
      <c r="EG57" s="109" t="str">
        <f t="shared" si="241"/>
        <v>-</v>
      </c>
      <c r="EH57" s="110" t="str">
        <f t="shared" si="242"/>
        <v>-</v>
      </c>
      <c r="EI57" s="110" t="str">
        <f t="shared" si="243"/>
        <v>-</v>
      </c>
      <c r="EJ57" s="110" t="str">
        <f t="shared" si="244"/>
        <v>-</v>
      </c>
      <c r="EK57" s="110" t="str">
        <f t="shared" si="245"/>
        <v>-</v>
      </c>
      <c r="EL57" s="110" t="str">
        <f t="shared" si="246"/>
        <v>-</v>
      </c>
      <c r="EM57" s="110" t="str">
        <f t="shared" si="247"/>
        <v>-</v>
      </c>
      <c r="EN57" s="110" t="str">
        <f t="shared" si="248"/>
        <v>-</v>
      </c>
      <c r="EO57" s="111" t="str">
        <f t="shared" si="249"/>
        <v>-</v>
      </c>
      <c r="EQ57" s="118">
        <f t="shared" si="250"/>
        <v>52.19</v>
      </c>
      <c r="ER57" s="119" t="str">
        <f t="shared" si="251"/>
        <v>-</v>
      </c>
      <c r="ES57" s="120" t="str">
        <f t="shared" si="252"/>
        <v>-</v>
      </c>
      <c r="ET57" s="90">
        <v>2</v>
      </c>
      <c r="EU57" s="118">
        <f t="shared" si="253"/>
        <v>2</v>
      </c>
      <c r="EV57" s="119" t="str">
        <f t="shared" si="254"/>
        <v>-</v>
      </c>
      <c r="EW57" s="120" t="str">
        <f t="shared" si="255"/>
        <v>-</v>
      </c>
    </row>
    <row r="58" spans="1:153" ht="15.75" thickBot="1" x14ac:dyDescent="0.3">
      <c r="A58" s="41"/>
      <c r="B58" s="171" t="s">
        <v>494</v>
      </c>
      <c r="C58" s="171" t="s">
        <v>495</v>
      </c>
      <c r="D58" s="42">
        <f>VLOOKUP(B58,'BASE DE DATOS'!$B$3:$E$106,2,FALSE)</f>
        <v>33.200000000000003</v>
      </c>
      <c r="E58" s="42">
        <f>VLOOKUP(B58,'BASE DE DATOS'!$B$3:$E$106,4,FALSE)</f>
        <v>1.9600000000000044</v>
      </c>
      <c r="F58" s="42">
        <f>VLOOKUP(C58,'BASE DE DATOS'!$B$3:$E$106,2,FALSE)</f>
        <v>33.17</v>
      </c>
      <c r="G58" s="42">
        <f>VLOOKUP(C58,'BASE DE DATOS'!$B$3:$E$106,4,FALSE)</f>
        <v>2.0600000000000023</v>
      </c>
      <c r="H58" s="43">
        <f t="shared" si="135"/>
        <v>2.0100000000000033</v>
      </c>
      <c r="I58" s="171">
        <v>22.88</v>
      </c>
      <c r="J58" s="44">
        <f t="shared" si="132"/>
        <v>22.88</v>
      </c>
      <c r="K58" s="40">
        <f t="shared" si="133"/>
        <v>21.28</v>
      </c>
      <c r="L58" s="40">
        <f t="shared" si="134"/>
        <v>21.68</v>
      </c>
      <c r="M58" s="44">
        <f t="shared" si="124"/>
        <v>250</v>
      </c>
      <c r="N58" s="40">
        <f t="shared" si="125"/>
        <v>22.88</v>
      </c>
      <c r="O58" s="171" t="s">
        <v>120</v>
      </c>
      <c r="P58" s="19">
        <v>234.6</v>
      </c>
      <c r="Q58" s="171" t="s">
        <v>122</v>
      </c>
      <c r="R58" s="171" t="s">
        <v>133</v>
      </c>
      <c r="S58" s="171" t="s">
        <v>147</v>
      </c>
      <c r="T58" s="171" t="s">
        <v>146</v>
      </c>
      <c r="V58" s="51" t="str">
        <f t="shared" si="256"/>
        <v>-</v>
      </c>
      <c r="W58" s="52" t="str">
        <f t="shared" si="257"/>
        <v>-</v>
      </c>
      <c r="X58" s="52" t="str">
        <f t="shared" si="258"/>
        <v>-</v>
      </c>
      <c r="Y58" s="52" t="str">
        <f t="shared" si="259"/>
        <v>-</v>
      </c>
      <c r="Z58" s="52" t="str">
        <f t="shared" si="260"/>
        <v>-</v>
      </c>
      <c r="AA58" s="52" t="str">
        <f t="shared" si="261"/>
        <v>-</v>
      </c>
      <c r="AB58" s="52" t="str">
        <f t="shared" si="262"/>
        <v>-</v>
      </c>
      <c r="AC58" s="52" t="str">
        <f t="shared" si="263"/>
        <v>-</v>
      </c>
      <c r="AD58" s="52">
        <f t="shared" si="264"/>
        <v>21.28</v>
      </c>
      <c r="AE58" s="52" t="str">
        <f t="shared" si="265"/>
        <v>-</v>
      </c>
      <c r="AF58" s="52" t="str">
        <f t="shared" si="266"/>
        <v>-</v>
      </c>
      <c r="AG58" s="52" t="str">
        <f t="shared" si="267"/>
        <v>-</v>
      </c>
      <c r="AH58" s="52" t="str">
        <f t="shared" si="268"/>
        <v>-</v>
      </c>
      <c r="AI58" s="52" t="str">
        <f t="shared" si="269"/>
        <v>-</v>
      </c>
      <c r="AJ58" s="52" t="str">
        <f t="shared" si="270"/>
        <v>-</v>
      </c>
      <c r="AK58" s="52" t="str">
        <f t="shared" si="271"/>
        <v>-</v>
      </c>
      <c r="AL58" s="52" t="str">
        <f t="shared" si="272"/>
        <v>-</v>
      </c>
      <c r="AM58" s="53" t="str">
        <f t="shared" si="273"/>
        <v>-</v>
      </c>
      <c r="AN58" s="51" t="str">
        <f t="shared" si="274"/>
        <v>-</v>
      </c>
      <c r="AO58" s="52" t="str">
        <f t="shared" si="275"/>
        <v>-</v>
      </c>
      <c r="AP58" s="52" t="str">
        <f t="shared" si="276"/>
        <v>-</v>
      </c>
      <c r="AQ58" s="52" t="str">
        <f t="shared" si="277"/>
        <v>-</v>
      </c>
      <c r="AR58" s="52" t="str">
        <f t="shared" si="278"/>
        <v>-</v>
      </c>
      <c r="AS58" s="52" t="str">
        <f t="shared" si="279"/>
        <v>-</v>
      </c>
      <c r="AT58" s="52" t="str">
        <f t="shared" si="280"/>
        <v>-</v>
      </c>
      <c r="AU58" s="52" t="str">
        <f t="shared" si="281"/>
        <v>-</v>
      </c>
      <c r="AV58" s="52" t="str">
        <f t="shared" si="282"/>
        <v>-</v>
      </c>
      <c r="AW58" s="52" t="str">
        <f t="shared" si="283"/>
        <v>-</v>
      </c>
      <c r="AX58" s="52" t="str">
        <f t="shared" si="284"/>
        <v>-</v>
      </c>
      <c r="AY58" s="52" t="str">
        <f t="shared" si="285"/>
        <v>-</v>
      </c>
      <c r="AZ58" s="52" t="str">
        <f t="shared" si="286"/>
        <v>-</v>
      </c>
      <c r="BA58" s="52" t="str">
        <f t="shared" si="287"/>
        <v>-</v>
      </c>
      <c r="BB58" s="52" t="str">
        <f t="shared" si="288"/>
        <v>-</v>
      </c>
      <c r="BC58" s="52" t="str">
        <f t="shared" si="289"/>
        <v>-</v>
      </c>
      <c r="BD58" s="52" t="str">
        <f t="shared" si="290"/>
        <v>-</v>
      </c>
      <c r="BE58" s="53" t="str">
        <f t="shared" si="291"/>
        <v>-</v>
      </c>
      <c r="BF58" s="51" t="str">
        <f t="shared" si="292"/>
        <v>-</v>
      </c>
      <c r="BG58" s="52" t="str">
        <f t="shared" si="293"/>
        <v>-</v>
      </c>
      <c r="BH58" s="52" t="str">
        <f t="shared" si="294"/>
        <v>-</v>
      </c>
      <c r="BI58" s="52" t="str">
        <f t="shared" si="295"/>
        <v>-</v>
      </c>
      <c r="BJ58" s="52" t="str">
        <f t="shared" si="296"/>
        <v>-</v>
      </c>
      <c r="BK58" s="52" t="str">
        <f t="shared" si="297"/>
        <v>-</v>
      </c>
      <c r="BL58" s="52" t="str">
        <f t="shared" si="298"/>
        <v>-</v>
      </c>
      <c r="BM58" s="52" t="str">
        <f t="shared" si="299"/>
        <v>-</v>
      </c>
      <c r="BN58" s="52" t="str">
        <f t="shared" si="300"/>
        <v>-</v>
      </c>
      <c r="BO58" s="52" t="str">
        <f t="shared" si="301"/>
        <v>-</v>
      </c>
      <c r="BP58" s="52" t="str">
        <f t="shared" si="302"/>
        <v>-</v>
      </c>
      <c r="BQ58" s="52" t="str">
        <f t="shared" si="303"/>
        <v>-</v>
      </c>
      <c r="BR58" s="52" t="str">
        <f t="shared" si="304"/>
        <v>-</v>
      </c>
      <c r="BS58" s="52" t="str">
        <f t="shared" si="305"/>
        <v>-</v>
      </c>
      <c r="BT58" s="52" t="str">
        <f t="shared" si="306"/>
        <v>-</v>
      </c>
      <c r="BU58" s="52" t="str">
        <f t="shared" si="307"/>
        <v>-</v>
      </c>
      <c r="BV58" s="52" t="str">
        <f t="shared" si="308"/>
        <v>-</v>
      </c>
      <c r="BW58" s="53" t="str">
        <f t="shared" si="309"/>
        <v>-</v>
      </c>
      <c r="BX58" s="51" t="str">
        <f t="shared" si="310"/>
        <v>-</v>
      </c>
      <c r="BY58" s="52" t="str">
        <f t="shared" si="311"/>
        <v>-</v>
      </c>
      <c r="BZ58" s="52" t="str">
        <f t="shared" si="312"/>
        <v>-</v>
      </c>
      <c r="CA58" s="52" t="str">
        <f t="shared" si="313"/>
        <v>-</v>
      </c>
      <c r="CB58" s="52" t="str">
        <f t="shared" si="314"/>
        <v>-</v>
      </c>
      <c r="CC58" s="52" t="str">
        <f t="shared" si="315"/>
        <v>-</v>
      </c>
      <c r="CD58" s="52" t="str">
        <f t="shared" si="316"/>
        <v>-</v>
      </c>
      <c r="CE58" s="52" t="str">
        <f t="shared" si="317"/>
        <v>-</v>
      </c>
      <c r="CF58" s="52" t="str">
        <f t="shared" si="318"/>
        <v>-</v>
      </c>
      <c r="CG58" s="52" t="str">
        <f t="shared" si="319"/>
        <v>-</v>
      </c>
      <c r="CH58" s="52" t="str">
        <f t="shared" si="320"/>
        <v>-</v>
      </c>
      <c r="CI58" s="52" t="str">
        <f t="shared" si="321"/>
        <v>-</v>
      </c>
      <c r="CJ58" s="52" t="str">
        <f t="shared" si="322"/>
        <v>-</v>
      </c>
      <c r="CK58" s="52" t="str">
        <f t="shared" si="323"/>
        <v>-</v>
      </c>
      <c r="CL58" s="52" t="str">
        <f t="shared" si="324"/>
        <v>-</v>
      </c>
      <c r="CM58" s="52" t="str">
        <f t="shared" si="325"/>
        <v>-</v>
      </c>
      <c r="CN58" s="52" t="str">
        <f t="shared" si="326"/>
        <v>-</v>
      </c>
      <c r="CO58" s="53" t="str">
        <f t="shared" si="327"/>
        <v>-</v>
      </c>
      <c r="CQ58" s="305" t="str">
        <f t="shared" si="126"/>
        <v>-</v>
      </c>
      <c r="CR58" s="305">
        <f t="shared" si="127"/>
        <v>22.88</v>
      </c>
      <c r="CS58" s="305" t="str">
        <f t="shared" si="128"/>
        <v>-</v>
      </c>
      <c r="CT58" s="305" t="str">
        <f t="shared" si="129"/>
        <v>-</v>
      </c>
      <c r="CU58" s="305" t="str">
        <f t="shared" si="130"/>
        <v>-</v>
      </c>
      <c r="CV58" s="305" t="str">
        <f t="shared" si="131"/>
        <v>-</v>
      </c>
      <c r="CX58" s="51">
        <f t="shared" si="208"/>
        <v>21.68</v>
      </c>
      <c r="CY58" s="52" t="str">
        <f t="shared" si="209"/>
        <v>-</v>
      </c>
      <c r="CZ58" s="53" t="str">
        <f t="shared" si="210"/>
        <v>-</v>
      </c>
      <c r="DA58" s="51" t="str">
        <f t="shared" si="211"/>
        <v>-</v>
      </c>
      <c r="DB58" s="52" t="str">
        <f t="shared" si="212"/>
        <v>-</v>
      </c>
      <c r="DC58" s="53" t="str">
        <f t="shared" si="213"/>
        <v>-</v>
      </c>
      <c r="DD58" s="57"/>
      <c r="DE58" s="106" t="str">
        <f t="shared" si="214"/>
        <v>-</v>
      </c>
      <c r="DF58" s="107" t="str">
        <f t="shared" si="215"/>
        <v>-</v>
      </c>
      <c r="DG58" s="107" t="str">
        <f t="shared" si="216"/>
        <v>-</v>
      </c>
      <c r="DH58" s="107" t="str">
        <f t="shared" si="217"/>
        <v>-</v>
      </c>
      <c r="DI58" s="107">
        <f t="shared" si="218"/>
        <v>21.68</v>
      </c>
      <c r="DJ58" s="107" t="str">
        <f t="shared" si="219"/>
        <v>-</v>
      </c>
      <c r="DK58" s="107" t="str">
        <f t="shared" si="220"/>
        <v>-</v>
      </c>
      <c r="DL58" s="107" t="str">
        <f t="shared" si="221"/>
        <v>-</v>
      </c>
      <c r="DM58" s="108" t="str">
        <f t="shared" si="222"/>
        <v>-</v>
      </c>
      <c r="DO58" s="106" t="str">
        <f t="shared" si="223"/>
        <v>-</v>
      </c>
      <c r="DP58" s="107" t="str">
        <f t="shared" si="224"/>
        <v>-</v>
      </c>
      <c r="DQ58" s="107" t="str">
        <f t="shared" si="225"/>
        <v>-</v>
      </c>
      <c r="DR58" s="107" t="str">
        <f t="shared" si="226"/>
        <v>-</v>
      </c>
      <c r="DS58" s="107">
        <f t="shared" si="227"/>
        <v>21.68</v>
      </c>
      <c r="DT58" s="107" t="str">
        <f t="shared" si="228"/>
        <v>-</v>
      </c>
      <c r="DU58" s="107" t="str">
        <f t="shared" si="229"/>
        <v>-</v>
      </c>
      <c r="DV58" s="107" t="str">
        <f t="shared" si="230"/>
        <v>-</v>
      </c>
      <c r="DW58" s="108" t="str">
        <f t="shared" si="231"/>
        <v>-</v>
      </c>
      <c r="DX58" s="109" t="str">
        <f t="shared" si="232"/>
        <v>-</v>
      </c>
      <c r="DY58" s="110" t="str">
        <f t="shared" si="233"/>
        <v>-</v>
      </c>
      <c r="DZ58" s="110" t="str">
        <f t="shared" si="234"/>
        <v>-</v>
      </c>
      <c r="EA58" s="110" t="str">
        <f t="shared" si="235"/>
        <v>-</v>
      </c>
      <c r="EB58" s="110" t="str">
        <f t="shared" si="236"/>
        <v>-</v>
      </c>
      <c r="EC58" s="110" t="str">
        <f t="shared" si="237"/>
        <v>-</v>
      </c>
      <c r="ED58" s="110" t="str">
        <f t="shared" si="238"/>
        <v>-</v>
      </c>
      <c r="EE58" s="110" t="str">
        <f t="shared" si="239"/>
        <v>-</v>
      </c>
      <c r="EF58" s="111" t="str">
        <f t="shared" si="240"/>
        <v>-</v>
      </c>
      <c r="EG58" s="109" t="str">
        <f t="shared" si="241"/>
        <v>-</v>
      </c>
      <c r="EH58" s="110" t="str">
        <f t="shared" si="242"/>
        <v>-</v>
      </c>
      <c r="EI58" s="110" t="str">
        <f t="shared" si="243"/>
        <v>-</v>
      </c>
      <c r="EJ58" s="110" t="str">
        <f t="shared" si="244"/>
        <v>-</v>
      </c>
      <c r="EK58" s="110" t="str">
        <f t="shared" si="245"/>
        <v>-</v>
      </c>
      <c r="EL58" s="110" t="str">
        <f t="shared" si="246"/>
        <v>-</v>
      </c>
      <c r="EM58" s="110" t="str">
        <f t="shared" si="247"/>
        <v>-</v>
      </c>
      <c r="EN58" s="110" t="str">
        <f t="shared" si="248"/>
        <v>-</v>
      </c>
      <c r="EO58" s="111" t="str">
        <f t="shared" si="249"/>
        <v>-</v>
      </c>
      <c r="EQ58" s="118" t="str">
        <f t="shared" si="250"/>
        <v>-</v>
      </c>
      <c r="ER58" s="119">
        <f t="shared" si="251"/>
        <v>21.68</v>
      </c>
      <c r="ES58" s="120" t="str">
        <f t="shared" si="252"/>
        <v>-</v>
      </c>
      <c r="ET58" s="90">
        <v>2</v>
      </c>
      <c r="EU58" s="118" t="str">
        <f t="shared" si="253"/>
        <v>-</v>
      </c>
      <c r="EV58" s="119">
        <f t="shared" si="254"/>
        <v>2</v>
      </c>
      <c r="EW58" s="120" t="str">
        <f t="shared" si="255"/>
        <v>-</v>
      </c>
    </row>
    <row r="59" spans="1:153" ht="15.75" thickBot="1" x14ac:dyDescent="0.3">
      <c r="A59" s="41"/>
      <c r="B59" s="171" t="s">
        <v>495</v>
      </c>
      <c r="C59" s="171" t="s">
        <v>496</v>
      </c>
      <c r="D59" s="42">
        <f>VLOOKUP(B59,'BASE DE DATOS'!$B$3:$E$106,2,FALSE)</f>
        <v>33.17</v>
      </c>
      <c r="E59" s="42">
        <f>VLOOKUP(B59,'BASE DE DATOS'!$B$3:$E$106,4,FALSE)</f>
        <v>2.0600000000000023</v>
      </c>
      <c r="F59" s="42">
        <f>VLOOKUP(C59,'BASE DE DATOS'!$B$3:$E$106,2,FALSE)</f>
        <v>33.049999999999997</v>
      </c>
      <c r="G59" s="42">
        <f>VLOOKUP(C59,'BASE DE DATOS'!$B$3:$E$106,4,FALSE)</f>
        <v>2.0799999999999983</v>
      </c>
      <c r="H59" s="43">
        <f t="shared" si="135"/>
        <v>2.0700000000000003</v>
      </c>
      <c r="I59" s="171">
        <v>10.06</v>
      </c>
      <c r="J59" s="44">
        <f t="shared" si="132"/>
        <v>10.06</v>
      </c>
      <c r="K59" s="40">
        <f t="shared" si="133"/>
        <v>8.4600000000000009</v>
      </c>
      <c r="L59" s="40">
        <f t="shared" si="134"/>
        <v>8.86</v>
      </c>
      <c r="M59" s="44">
        <f t="shared" si="124"/>
        <v>250</v>
      </c>
      <c r="N59" s="40">
        <f t="shared" si="125"/>
        <v>10.06</v>
      </c>
      <c r="O59" s="171" t="s">
        <v>120</v>
      </c>
      <c r="P59" s="19">
        <v>234.6</v>
      </c>
      <c r="Q59" s="171" t="s">
        <v>122</v>
      </c>
      <c r="R59" s="171" t="s">
        <v>133</v>
      </c>
      <c r="S59" s="171" t="s">
        <v>148</v>
      </c>
      <c r="T59" s="171" t="s">
        <v>149</v>
      </c>
      <c r="V59" s="51" t="str">
        <f t="shared" si="256"/>
        <v>-</v>
      </c>
      <c r="W59" s="52" t="str">
        <f t="shared" si="257"/>
        <v>-</v>
      </c>
      <c r="X59" s="52" t="str">
        <f t="shared" si="258"/>
        <v>-</v>
      </c>
      <c r="Y59" s="52" t="str">
        <f t="shared" si="259"/>
        <v>-</v>
      </c>
      <c r="Z59" s="52" t="str">
        <f t="shared" si="260"/>
        <v>-</v>
      </c>
      <c r="AA59" s="52" t="str">
        <f t="shared" si="261"/>
        <v>-</v>
      </c>
      <c r="AB59" s="52" t="str">
        <f t="shared" si="262"/>
        <v>-</v>
      </c>
      <c r="AC59" s="52" t="str">
        <f t="shared" si="263"/>
        <v>-</v>
      </c>
      <c r="AD59" s="52" t="str">
        <f t="shared" si="264"/>
        <v>-</v>
      </c>
      <c r="AE59" s="52" t="str">
        <f t="shared" si="265"/>
        <v>-</v>
      </c>
      <c r="AF59" s="52" t="str">
        <f t="shared" si="266"/>
        <v>-</v>
      </c>
      <c r="AG59" s="52" t="str">
        <f t="shared" si="267"/>
        <v>-</v>
      </c>
      <c r="AH59" s="52" t="str">
        <f t="shared" si="268"/>
        <v>-</v>
      </c>
      <c r="AI59" s="52" t="str">
        <f t="shared" si="269"/>
        <v>-</v>
      </c>
      <c r="AJ59" s="52" t="str">
        <f t="shared" si="270"/>
        <v>-</v>
      </c>
      <c r="AK59" s="52" t="str">
        <f t="shared" si="271"/>
        <v>-</v>
      </c>
      <c r="AL59" s="52" t="str">
        <f t="shared" si="272"/>
        <v>-</v>
      </c>
      <c r="AM59" s="53" t="str">
        <f t="shared" si="273"/>
        <v>-</v>
      </c>
      <c r="AN59" s="51" t="str">
        <f t="shared" si="274"/>
        <v>-</v>
      </c>
      <c r="AO59" s="52" t="str">
        <f t="shared" si="275"/>
        <v>-</v>
      </c>
      <c r="AP59" s="52" t="str">
        <f t="shared" si="276"/>
        <v>-</v>
      </c>
      <c r="AQ59" s="52" t="str">
        <f t="shared" si="277"/>
        <v>-</v>
      </c>
      <c r="AR59" s="52" t="str">
        <f t="shared" si="278"/>
        <v>-</v>
      </c>
      <c r="AS59" s="52" t="str">
        <f t="shared" si="279"/>
        <v>-</v>
      </c>
      <c r="AT59" s="52" t="str">
        <f t="shared" si="280"/>
        <v>-</v>
      </c>
      <c r="AU59" s="52" t="str">
        <f t="shared" si="281"/>
        <v>-</v>
      </c>
      <c r="AV59" s="52" t="str">
        <f t="shared" si="282"/>
        <v>-</v>
      </c>
      <c r="AW59" s="52" t="str">
        <f t="shared" si="283"/>
        <v>-</v>
      </c>
      <c r="AX59" s="52" t="str">
        <f t="shared" si="284"/>
        <v>-</v>
      </c>
      <c r="AY59" s="52" t="str">
        <f t="shared" si="285"/>
        <v>-</v>
      </c>
      <c r="AZ59" s="52" t="str">
        <f t="shared" si="286"/>
        <v>-</v>
      </c>
      <c r="BA59" s="52" t="str">
        <f t="shared" si="287"/>
        <v>-</v>
      </c>
      <c r="BB59" s="52" t="str">
        <f t="shared" si="288"/>
        <v>-</v>
      </c>
      <c r="BC59" s="52" t="str">
        <f t="shared" si="289"/>
        <v>-</v>
      </c>
      <c r="BD59" s="52" t="str">
        <f t="shared" si="290"/>
        <v>-</v>
      </c>
      <c r="BE59" s="53" t="str">
        <f t="shared" si="291"/>
        <v>-</v>
      </c>
      <c r="BF59" s="51" t="str">
        <f t="shared" si="292"/>
        <v>-</v>
      </c>
      <c r="BG59" s="52" t="str">
        <f t="shared" si="293"/>
        <v>-</v>
      </c>
      <c r="BH59" s="52" t="str">
        <f t="shared" si="294"/>
        <v>-</v>
      </c>
      <c r="BI59" s="52" t="str">
        <f t="shared" si="295"/>
        <v>-</v>
      </c>
      <c r="BJ59" s="52" t="str">
        <f t="shared" si="296"/>
        <v>-</v>
      </c>
      <c r="BK59" s="52" t="str">
        <f t="shared" si="297"/>
        <v>-</v>
      </c>
      <c r="BL59" s="52" t="str">
        <f t="shared" si="298"/>
        <v>-</v>
      </c>
      <c r="BM59" s="52" t="str">
        <f t="shared" si="299"/>
        <v>-</v>
      </c>
      <c r="BN59" s="52">
        <f t="shared" si="300"/>
        <v>8.4600000000000009</v>
      </c>
      <c r="BO59" s="52" t="str">
        <f t="shared" si="301"/>
        <v>-</v>
      </c>
      <c r="BP59" s="52" t="str">
        <f t="shared" si="302"/>
        <v>-</v>
      </c>
      <c r="BQ59" s="52" t="str">
        <f t="shared" si="303"/>
        <v>-</v>
      </c>
      <c r="BR59" s="52" t="str">
        <f t="shared" si="304"/>
        <v>-</v>
      </c>
      <c r="BS59" s="52" t="str">
        <f t="shared" si="305"/>
        <v>-</v>
      </c>
      <c r="BT59" s="52" t="str">
        <f t="shared" si="306"/>
        <v>-</v>
      </c>
      <c r="BU59" s="52" t="str">
        <f t="shared" si="307"/>
        <v>-</v>
      </c>
      <c r="BV59" s="52" t="str">
        <f t="shared" si="308"/>
        <v>-</v>
      </c>
      <c r="BW59" s="53" t="str">
        <f t="shared" si="309"/>
        <v>-</v>
      </c>
      <c r="BX59" s="51" t="str">
        <f t="shared" si="310"/>
        <v>-</v>
      </c>
      <c r="BY59" s="52" t="str">
        <f t="shared" si="311"/>
        <v>-</v>
      </c>
      <c r="BZ59" s="52" t="str">
        <f t="shared" si="312"/>
        <v>-</v>
      </c>
      <c r="CA59" s="52" t="str">
        <f t="shared" si="313"/>
        <v>-</v>
      </c>
      <c r="CB59" s="52" t="str">
        <f t="shared" si="314"/>
        <v>-</v>
      </c>
      <c r="CC59" s="52" t="str">
        <f t="shared" si="315"/>
        <v>-</v>
      </c>
      <c r="CD59" s="52" t="str">
        <f t="shared" si="316"/>
        <v>-</v>
      </c>
      <c r="CE59" s="52" t="str">
        <f t="shared" si="317"/>
        <v>-</v>
      </c>
      <c r="CF59" s="52" t="str">
        <f t="shared" si="318"/>
        <v>-</v>
      </c>
      <c r="CG59" s="52" t="str">
        <f t="shared" si="319"/>
        <v>-</v>
      </c>
      <c r="CH59" s="52" t="str">
        <f t="shared" si="320"/>
        <v>-</v>
      </c>
      <c r="CI59" s="52" t="str">
        <f t="shared" si="321"/>
        <v>-</v>
      </c>
      <c r="CJ59" s="52" t="str">
        <f t="shared" si="322"/>
        <v>-</v>
      </c>
      <c r="CK59" s="52" t="str">
        <f t="shared" si="323"/>
        <v>-</v>
      </c>
      <c r="CL59" s="52" t="str">
        <f t="shared" si="324"/>
        <v>-</v>
      </c>
      <c r="CM59" s="52" t="str">
        <f t="shared" si="325"/>
        <v>-</v>
      </c>
      <c r="CN59" s="52" t="str">
        <f t="shared" si="326"/>
        <v>-</v>
      </c>
      <c r="CO59" s="53" t="str">
        <f t="shared" si="327"/>
        <v>-</v>
      </c>
      <c r="CQ59" s="305" t="str">
        <f t="shared" si="126"/>
        <v>-</v>
      </c>
      <c r="CR59" s="305" t="str">
        <f t="shared" si="127"/>
        <v>-</v>
      </c>
      <c r="CS59" s="305" t="str">
        <f t="shared" si="128"/>
        <v>-</v>
      </c>
      <c r="CT59" s="305">
        <f t="shared" si="129"/>
        <v>10.06</v>
      </c>
      <c r="CU59" s="305" t="str">
        <f t="shared" si="130"/>
        <v>-</v>
      </c>
      <c r="CV59" s="305" t="str">
        <f t="shared" si="131"/>
        <v>-</v>
      </c>
      <c r="CX59" s="51">
        <f t="shared" si="208"/>
        <v>8.86</v>
      </c>
      <c r="CY59" s="52" t="str">
        <f t="shared" si="209"/>
        <v>-</v>
      </c>
      <c r="CZ59" s="53" t="str">
        <f t="shared" si="210"/>
        <v>-</v>
      </c>
      <c r="DA59" s="51" t="str">
        <f t="shared" si="211"/>
        <v>-</v>
      </c>
      <c r="DB59" s="52" t="str">
        <f t="shared" si="212"/>
        <v>-</v>
      </c>
      <c r="DC59" s="53" t="str">
        <f t="shared" si="213"/>
        <v>-</v>
      </c>
      <c r="DD59" s="57"/>
      <c r="DE59" s="106" t="str">
        <f t="shared" si="214"/>
        <v>-</v>
      </c>
      <c r="DF59" s="107" t="str">
        <f t="shared" si="215"/>
        <v>-</v>
      </c>
      <c r="DG59" s="107" t="str">
        <f t="shared" si="216"/>
        <v>-</v>
      </c>
      <c r="DH59" s="107" t="str">
        <f t="shared" si="217"/>
        <v>-</v>
      </c>
      <c r="DI59" s="107">
        <f t="shared" si="218"/>
        <v>8.86</v>
      </c>
      <c r="DJ59" s="107" t="str">
        <f t="shared" si="219"/>
        <v>-</v>
      </c>
      <c r="DK59" s="107" t="str">
        <f t="shared" si="220"/>
        <v>-</v>
      </c>
      <c r="DL59" s="107" t="str">
        <f t="shared" si="221"/>
        <v>-</v>
      </c>
      <c r="DM59" s="108" t="str">
        <f t="shared" si="222"/>
        <v>-</v>
      </c>
      <c r="DO59" s="106" t="str">
        <f t="shared" si="223"/>
        <v>-</v>
      </c>
      <c r="DP59" s="107" t="str">
        <f t="shared" si="224"/>
        <v>-</v>
      </c>
      <c r="DQ59" s="107" t="str">
        <f t="shared" si="225"/>
        <v>-</v>
      </c>
      <c r="DR59" s="107" t="str">
        <f t="shared" si="226"/>
        <v>-</v>
      </c>
      <c r="DS59" s="107">
        <f t="shared" si="227"/>
        <v>8.86</v>
      </c>
      <c r="DT59" s="107" t="str">
        <f t="shared" si="228"/>
        <v>-</v>
      </c>
      <c r="DU59" s="107" t="str">
        <f t="shared" si="229"/>
        <v>-</v>
      </c>
      <c r="DV59" s="107" t="str">
        <f t="shared" si="230"/>
        <v>-</v>
      </c>
      <c r="DW59" s="108" t="str">
        <f t="shared" si="231"/>
        <v>-</v>
      </c>
      <c r="DX59" s="109" t="str">
        <f t="shared" si="232"/>
        <v>-</v>
      </c>
      <c r="DY59" s="110" t="str">
        <f t="shared" si="233"/>
        <v>-</v>
      </c>
      <c r="DZ59" s="110" t="str">
        <f t="shared" si="234"/>
        <v>-</v>
      </c>
      <c r="EA59" s="110" t="str">
        <f t="shared" si="235"/>
        <v>-</v>
      </c>
      <c r="EB59" s="110" t="str">
        <f t="shared" si="236"/>
        <v>-</v>
      </c>
      <c r="EC59" s="110" t="str">
        <f t="shared" si="237"/>
        <v>-</v>
      </c>
      <c r="ED59" s="110" t="str">
        <f t="shared" si="238"/>
        <v>-</v>
      </c>
      <c r="EE59" s="110" t="str">
        <f t="shared" si="239"/>
        <v>-</v>
      </c>
      <c r="EF59" s="111" t="str">
        <f t="shared" si="240"/>
        <v>-</v>
      </c>
      <c r="EG59" s="109" t="str">
        <f t="shared" si="241"/>
        <v>-</v>
      </c>
      <c r="EH59" s="110" t="str">
        <f t="shared" si="242"/>
        <v>-</v>
      </c>
      <c r="EI59" s="110" t="str">
        <f t="shared" si="243"/>
        <v>-</v>
      </c>
      <c r="EJ59" s="110" t="str">
        <f t="shared" si="244"/>
        <v>-</v>
      </c>
      <c r="EK59" s="110" t="str">
        <f t="shared" si="245"/>
        <v>-</v>
      </c>
      <c r="EL59" s="110" t="str">
        <f t="shared" si="246"/>
        <v>-</v>
      </c>
      <c r="EM59" s="110" t="str">
        <f t="shared" si="247"/>
        <v>-</v>
      </c>
      <c r="EN59" s="110" t="str">
        <f t="shared" si="248"/>
        <v>-</v>
      </c>
      <c r="EO59" s="111" t="str">
        <f t="shared" si="249"/>
        <v>-</v>
      </c>
      <c r="EQ59" s="118" t="str">
        <f t="shared" si="250"/>
        <v>-</v>
      </c>
      <c r="ER59" s="119">
        <f t="shared" si="251"/>
        <v>8.86</v>
      </c>
      <c r="ES59" s="120" t="str">
        <f t="shared" si="252"/>
        <v>-</v>
      </c>
      <c r="ET59" s="90">
        <v>2</v>
      </c>
      <c r="EU59" s="118" t="str">
        <f t="shared" si="253"/>
        <v>-</v>
      </c>
      <c r="EV59" s="119">
        <f t="shared" si="254"/>
        <v>2</v>
      </c>
      <c r="EW59" s="120" t="str">
        <f t="shared" si="255"/>
        <v>-</v>
      </c>
    </row>
    <row r="60" spans="1:153" ht="15.75" thickBot="1" x14ac:dyDescent="0.3">
      <c r="A60" s="41"/>
      <c r="B60" s="171" t="s">
        <v>496</v>
      </c>
      <c r="C60" s="171" t="s">
        <v>497</v>
      </c>
      <c r="D60" s="42">
        <f>VLOOKUP(B60,'BASE DE DATOS'!$B$3:$E$106,2,FALSE)</f>
        <v>33.049999999999997</v>
      </c>
      <c r="E60" s="42">
        <f>VLOOKUP(B60,'BASE DE DATOS'!$B$3:$E$106,4,FALSE)</f>
        <v>2.0799999999999983</v>
      </c>
      <c r="F60" s="42">
        <f>VLOOKUP(C60,'BASE DE DATOS'!$B$3:$E$106,2,FALSE)</f>
        <v>33.119999999999997</v>
      </c>
      <c r="G60" s="42">
        <f>VLOOKUP(C60,'BASE DE DATOS'!$B$3:$E$106,4,FALSE)</f>
        <v>2.2499999999999964</v>
      </c>
      <c r="H60" s="43">
        <f t="shared" si="135"/>
        <v>2.1649999999999974</v>
      </c>
      <c r="I60" s="171">
        <v>35.25</v>
      </c>
      <c r="J60" s="44">
        <f t="shared" si="132"/>
        <v>35.25</v>
      </c>
      <c r="K60" s="40">
        <f t="shared" si="133"/>
        <v>33.65</v>
      </c>
      <c r="L60" s="40">
        <f t="shared" si="134"/>
        <v>34.049999999999997</v>
      </c>
      <c r="M60" s="40">
        <f t="shared" si="124"/>
        <v>250</v>
      </c>
      <c r="N60" s="40">
        <f t="shared" si="125"/>
        <v>35.25</v>
      </c>
      <c r="O60" s="171" t="s">
        <v>120</v>
      </c>
      <c r="P60" s="19">
        <v>234.6</v>
      </c>
      <c r="Q60" s="171" t="s">
        <v>123</v>
      </c>
      <c r="R60" s="171" t="s">
        <v>133</v>
      </c>
      <c r="S60" s="171" t="s">
        <v>148</v>
      </c>
      <c r="T60" s="171" t="s">
        <v>149</v>
      </c>
      <c r="V60" s="51" t="str">
        <f t="shared" si="256"/>
        <v>-</v>
      </c>
      <c r="W60" s="52" t="str">
        <f t="shared" si="257"/>
        <v>-</v>
      </c>
      <c r="X60" s="52" t="str">
        <f t="shared" si="258"/>
        <v>-</v>
      </c>
      <c r="Y60" s="52" t="str">
        <f t="shared" si="259"/>
        <v>-</v>
      </c>
      <c r="Z60" s="52" t="str">
        <f t="shared" si="260"/>
        <v>-</v>
      </c>
      <c r="AA60" s="52" t="str">
        <f t="shared" si="261"/>
        <v>-</v>
      </c>
      <c r="AB60" s="52" t="str">
        <f t="shared" si="262"/>
        <v>-</v>
      </c>
      <c r="AC60" s="52" t="str">
        <f t="shared" si="263"/>
        <v>-</v>
      </c>
      <c r="AD60" s="52" t="str">
        <f t="shared" si="264"/>
        <v>-</v>
      </c>
      <c r="AE60" s="52" t="str">
        <f t="shared" si="265"/>
        <v>-</v>
      </c>
      <c r="AF60" s="52" t="str">
        <f t="shared" si="266"/>
        <v>-</v>
      </c>
      <c r="AG60" s="52" t="str">
        <f t="shared" si="267"/>
        <v>-</v>
      </c>
      <c r="AH60" s="52" t="str">
        <f t="shared" si="268"/>
        <v>-</v>
      </c>
      <c r="AI60" s="52" t="str">
        <f t="shared" si="269"/>
        <v>-</v>
      </c>
      <c r="AJ60" s="52" t="str">
        <f t="shared" si="270"/>
        <v>-</v>
      </c>
      <c r="AK60" s="52" t="str">
        <f t="shared" si="271"/>
        <v>-</v>
      </c>
      <c r="AL60" s="52" t="str">
        <f t="shared" si="272"/>
        <v>-</v>
      </c>
      <c r="AM60" s="53" t="str">
        <f t="shared" si="273"/>
        <v>-</v>
      </c>
      <c r="AN60" s="51" t="str">
        <f t="shared" si="274"/>
        <v>-</v>
      </c>
      <c r="AO60" s="52" t="str">
        <f t="shared" si="275"/>
        <v>-</v>
      </c>
      <c r="AP60" s="52" t="str">
        <f t="shared" si="276"/>
        <v>-</v>
      </c>
      <c r="AQ60" s="52" t="str">
        <f t="shared" si="277"/>
        <v>-</v>
      </c>
      <c r="AR60" s="52" t="str">
        <f t="shared" si="278"/>
        <v>-</v>
      </c>
      <c r="AS60" s="52" t="str">
        <f t="shared" si="279"/>
        <v>-</v>
      </c>
      <c r="AT60" s="52" t="str">
        <f t="shared" si="280"/>
        <v>-</v>
      </c>
      <c r="AU60" s="52" t="str">
        <f t="shared" si="281"/>
        <v>-</v>
      </c>
      <c r="AV60" s="52" t="str">
        <f t="shared" si="282"/>
        <v>-</v>
      </c>
      <c r="AW60" s="52" t="str">
        <f t="shared" si="283"/>
        <v>-</v>
      </c>
      <c r="AX60" s="52" t="str">
        <f t="shared" si="284"/>
        <v>-</v>
      </c>
      <c r="AY60" s="52" t="str">
        <f t="shared" si="285"/>
        <v>-</v>
      </c>
      <c r="AZ60" s="52" t="str">
        <f t="shared" si="286"/>
        <v>-</v>
      </c>
      <c r="BA60" s="52" t="str">
        <f t="shared" si="287"/>
        <v>-</v>
      </c>
      <c r="BB60" s="52" t="str">
        <f t="shared" si="288"/>
        <v>-</v>
      </c>
      <c r="BC60" s="52" t="str">
        <f t="shared" si="289"/>
        <v>-</v>
      </c>
      <c r="BD60" s="52" t="str">
        <f t="shared" si="290"/>
        <v>-</v>
      </c>
      <c r="BE60" s="53" t="str">
        <f t="shared" si="291"/>
        <v>-</v>
      </c>
      <c r="BF60" s="51" t="str">
        <f t="shared" si="292"/>
        <v>-</v>
      </c>
      <c r="BG60" s="52" t="str">
        <f t="shared" si="293"/>
        <v>-</v>
      </c>
      <c r="BH60" s="52" t="str">
        <f t="shared" si="294"/>
        <v>-</v>
      </c>
      <c r="BI60" s="52" t="str">
        <f t="shared" si="295"/>
        <v>-</v>
      </c>
      <c r="BJ60" s="52" t="str">
        <f t="shared" si="296"/>
        <v>-</v>
      </c>
      <c r="BK60" s="52" t="str">
        <f t="shared" si="297"/>
        <v>-</v>
      </c>
      <c r="BL60" s="52" t="str">
        <f t="shared" si="298"/>
        <v>-</v>
      </c>
      <c r="BM60" s="52" t="str">
        <f t="shared" si="299"/>
        <v>-</v>
      </c>
      <c r="BN60" s="52" t="str">
        <f t="shared" si="300"/>
        <v>-</v>
      </c>
      <c r="BO60" s="52">
        <f t="shared" si="301"/>
        <v>33.65</v>
      </c>
      <c r="BP60" s="52" t="str">
        <f t="shared" si="302"/>
        <v>-</v>
      </c>
      <c r="BQ60" s="52" t="str">
        <f t="shared" si="303"/>
        <v>-</v>
      </c>
      <c r="BR60" s="52" t="str">
        <f t="shared" si="304"/>
        <v>-</v>
      </c>
      <c r="BS60" s="52" t="str">
        <f t="shared" si="305"/>
        <v>-</v>
      </c>
      <c r="BT60" s="52" t="str">
        <f t="shared" si="306"/>
        <v>-</v>
      </c>
      <c r="BU60" s="52" t="str">
        <f t="shared" si="307"/>
        <v>-</v>
      </c>
      <c r="BV60" s="52" t="str">
        <f t="shared" si="308"/>
        <v>-</v>
      </c>
      <c r="BW60" s="53" t="str">
        <f t="shared" si="309"/>
        <v>-</v>
      </c>
      <c r="BX60" s="51" t="str">
        <f t="shared" si="310"/>
        <v>-</v>
      </c>
      <c r="BY60" s="52" t="str">
        <f t="shared" si="311"/>
        <v>-</v>
      </c>
      <c r="BZ60" s="52" t="str">
        <f t="shared" si="312"/>
        <v>-</v>
      </c>
      <c r="CA60" s="52" t="str">
        <f t="shared" si="313"/>
        <v>-</v>
      </c>
      <c r="CB60" s="52" t="str">
        <f t="shared" si="314"/>
        <v>-</v>
      </c>
      <c r="CC60" s="52" t="str">
        <f t="shared" si="315"/>
        <v>-</v>
      </c>
      <c r="CD60" s="52" t="str">
        <f t="shared" si="316"/>
        <v>-</v>
      </c>
      <c r="CE60" s="52" t="str">
        <f t="shared" si="317"/>
        <v>-</v>
      </c>
      <c r="CF60" s="52" t="str">
        <f t="shared" si="318"/>
        <v>-</v>
      </c>
      <c r="CG60" s="52" t="str">
        <f t="shared" si="319"/>
        <v>-</v>
      </c>
      <c r="CH60" s="52" t="str">
        <f t="shared" si="320"/>
        <v>-</v>
      </c>
      <c r="CI60" s="52" t="str">
        <f t="shared" si="321"/>
        <v>-</v>
      </c>
      <c r="CJ60" s="52" t="str">
        <f t="shared" si="322"/>
        <v>-</v>
      </c>
      <c r="CK60" s="52" t="str">
        <f t="shared" si="323"/>
        <v>-</v>
      </c>
      <c r="CL60" s="52" t="str">
        <f t="shared" si="324"/>
        <v>-</v>
      </c>
      <c r="CM60" s="52" t="str">
        <f t="shared" si="325"/>
        <v>-</v>
      </c>
      <c r="CN60" s="52" t="str">
        <f t="shared" si="326"/>
        <v>-</v>
      </c>
      <c r="CO60" s="53" t="str">
        <f t="shared" si="327"/>
        <v>-</v>
      </c>
      <c r="CQ60" s="305" t="str">
        <f t="shared" si="126"/>
        <v>-</v>
      </c>
      <c r="CR60" s="305" t="str">
        <f t="shared" si="127"/>
        <v>-</v>
      </c>
      <c r="CS60" s="305" t="str">
        <f t="shared" si="128"/>
        <v>-</v>
      </c>
      <c r="CT60" s="305">
        <f t="shared" si="129"/>
        <v>35.25</v>
      </c>
      <c r="CU60" s="305" t="str">
        <f t="shared" si="130"/>
        <v>-</v>
      </c>
      <c r="CV60" s="305" t="str">
        <f t="shared" si="131"/>
        <v>-</v>
      </c>
      <c r="CX60" s="51" t="str">
        <f t="shared" si="208"/>
        <v>-</v>
      </c>
      <c r="CY60" s="52">
        <f t="shared" si="209"/>
        <v>34.049999999999997</v>
      </c>
      <c r="CZ60" s="53" t="str">
        <f t="shared" si="210"/>
        <v>-</v>
      </c>
      <c r="DA60" s="51" t="str">
        <f t="shared" si="211"/>
        <v>-</v>
      </c>
      <c r="DB60" s="52" t="str">
        <f t="shared" si="212"/>
        <v>-</v>
      </c>
      <c r="DC60" s="53" t="str">
        <f t="shared" si="213"/>
        <v>-</v>
      </c>
      <c r="DD60" s="57"/>
      <c r="DE60" s="106" t="str">
        <f t="shared" si="214"/>
        <v>-</v>
      </c>
      <c r="DF60" s="107" t="str">
        <f t="shared" si="215"/>
        <v>-</v>
      </c>
      <c r="DG60" s="107" t="str">
        <f t="shared" si="216"/>
        <v>-</v>
      </c>
      <c r="DH60" s="107" t="str">
        <f t="shared" si="217"/>
        <v>-</v>
      </c>
      <c r="DI60" s="107" t="str">
        <f t="shared" si="218"/>
        <v>-</v>
      </c>
      <c r="DJ60" s="107" t="str">
        <f t="shared" si="219"/>
        <v>-</v>
      </c>
      <c r="DK60" s="107" t="str">
        <f t="shared" si="220"/>
        <v>-</v>
      </c>
      <c r="DL60" s="107" t="str">
        <f t="shared" si="221"/>
        <v>-</v>
      </c>
      <c r="DM60" s="108" t="str">
        <f t="shared" si="222"/>
        <v>-</v>
      </c>
      <c r="DO60" s="106" t="str">
        <f t="shared" si="223"/>
        <v>-</v>
      </c>
      <c r="DP60" s="107" t="str">
        <f t="shared" si="224"/>
        <v>-</v>
      </c>
      <c r="DQ60" s="107" t="str">
        <f t="shared" si="225"/>
        <v>-</v>
      </c>
      <c r="DR60" s="107" t="str">
        <f t="shared" si="226"/>
        <v>-</v>
      </c>
      <c r="DS60" s="107" t="str">
        <f t="shared" si="227"/>
        <v>-</v>
      </c>
      <c r="DT60" s="107" t="str">
        <f t="shared" si="228"/>
        <v>-</v>
      </c>
      <c r="DU60" s="107" t="str">
        <f t="shared" si="229"/>
        <v>-</v>
      </c>
      <c r="DV60" s="107" t="str">
        <f t="shared" si="230"/>
        <v>-</v>
      </c>
      <c r="DW60" s="108" t="str">
        <f t="shared" si="231"/>
        <v>-</v>
      </c>
      <c r="DX60" s="109" t="str">
        <f t="shared" si="232"/>
        <v>-</v>
      </c>
      <c r="DY60" s="110" t="str">
        <f t="shared" si="233"/>
        <v>-</v>
      </c>
      <c r="DZ60" s="110" t="str">
        <f t="shared" si="234"/>
        <v>-</v>
      </c>
      <c r="EA60" s="110" t="str">
        <f t="shared" si="235"/>
        <v>-</v>
      </c>
      <c r="EB60" s="110">
        <f t="shared" si="236"/>
        <v>35.25</v>
      </c>
      <c r="EC60" s="110" t="str">
        <f t="shared" si="237"/>
        <v>-</v>
      </c>
      <c r="ED60" s="110" t="str">
        <f t="shared" si="238"/>
        <v>-</v>
      </c>
      <c r="EE60" s="110" t="str">
        <f t="shared" si="239"/>
        <v>-</v>
      </c>
      <c r="EF60" s="111" t="str">
        <f t="shared" si="240"/>
        <v>-</v>
      </c>
      <c r="EG60" s="109" t="str">
        <f t="shared" si="241"/>
        <v>-</v>
      </c>
      <c r="EH60" s="110" t="str">
        <f t="shared" si="242"/>
        <v>-</v>
      </c>
      <c r="EI60" s="110" t="str">
        <f t="shared" si="243"/>
        <v>-</v>
      </c>
      <c r="EJ60" s="110" t="str">
        <f t="shared" si="244"/>
        <v>-</v>
      </c>
      <c r="EK60" s="110" t="str">
        <f t="shared" si="245"/>
        <v>-</v>
      </c>
      <c r="EL60" s="110" t="str">
        <f t="shared" si="246"/>
        <v>-</v>
      </c>
      <c r="EM60" s="110" t="str">
        <f t="shared" si="247"/>
        <v>-</v>
      </c>
      <c r="EN60" s="110" t="str">
        <f t="shared" si="248"/>
        <v>-</v>
      </c>
      <c r="EO60" s="111" t="str">
        <f t="shared" si="249"/>
        <v>-</v>
      </c>
      <c r="EQ60" s="118" t="str">
        <f t="shared" si="250"/>
        <v>-</v>
      </c>
      <c r="ER60" s="119">
        <f t="shared" si="251"/>
        <v>34.049999999999997</v>
      </c>
      <c r="ES60" s="120" t="str">
        <f t="shared" si="252"/>
        <v>-</v>
      </c>
      <c r="ET60" s="90">
        <v>2</v>
      </c>
      <c r="EU60" s="118" t="str">
        <f t="shared" si="253"/>
        <v>-</v>
      </c>
      <c r="EV60" s="119">
        <f t="shared" si="254"/>
        <v>2</v>
      </c>
      <c r="EW60" s="120" t="str">
        <f t="shared" si="255"/>
        <v>-</v>
      </c>
    </row>
    <row r="61" spans="1:153" ht="15.75" thickBot="1" x14ac:dyDescent="0.3">
      <c r="A61" s="41"/>
      <c r="B61" s="171" t="s">
        <v>497</v>
      </c>
      <c r="C61" s="171" t="s">
        <v>499</v>
      </c>
      <c r="D61" s="38">
        <f>VLOOKUP(B61,'BASE DE DATOS'!$B$3:$E$106,2,FALSE)</f>
        <v>33.119999999999997</v>
      </c>
      <c r="E61" s="38">
        <f>VLOOKUP(B61,'BASE DE DATOS'!$B$3:$E$106,4,FALSE)</f>
        <v>2.2499999999999964</v>
      </c>
      <c r="F61" s="38">
        <f>VLOOKUP(C61,'BASE DE DATOS'!$B$3:$E$106,2,FALSE)</f>
        <v>33.46</v>
      </c>
      <c r="G61" s="38">
        <f>VLOOKUP(C61,'BASE DE DATOS'!$B$3:$E$106,4,FALSE)</f>
        <v>2.7100000000000009</v>
      </c>
      <c r="H61" s="39">
        <f t="shared" si="135"/>
        <v>2.4799999999999986</v>
      </c>
      <c r="I61" s="171">
        <v>42.35</v>
      </c>
      <c r="J61" s="44">
        <f t="shared" si="132"/>
        <v>42.35</v>
      </c>
      <c r="K61" s="40">
        <f t="shared" si="133"/>
        <v>40.75</v>
      </c>
      <c r="L61" s="40">
        <f t="shared" si="134"/>
        <v>41.15</v>
      </c>
      <c r="M61" s="44">
        <f t="shared" si="124"/>
        <v>250</v>
      </c>
      <c r="N61" s="40">
        <f t="shared" si="125"/>
        <v>42.35</v>
      </c>
      <c r="O61" s="171" t="s">
        <v>120</v>
      </c>
      <c r="P61" s="19">
        <v>234.6</v>
      </c>
      <c r="Q61" s="171" t="s">
        <v>122</v>
      </c>
      <c r="R61" s="171" t="s">
        <v>133</v>
      </c>
      <c r="S61" s="171" t="s">
        <v>148</v>
      </c>
      <c r="T61" s="171" t="s">
        <v>149</v>
      </c>
      <c r="V61" s="51" t="str">
        <f t="shared" si="256"/>
        <v>-</v>
      </c>
      <c r="W61" s="52" t="str">
        <f t="shared" si="257"/>
        <v>-</v>
      </c>
      <c r="X61" s="52" t="str">
        <f t="shared" si="258"/>
        <v>-</v>
      </c>
      <c r="Y61" s="52" t="str">
        <f t="shared" si="259"/>
        <v>-</v>
      </c>
      <c r="Z61" s="52" t="str">
        <f t="shared" si="260"/>
        <v>-</v>
      </c>
      <c r="AA61" s="52" t="str">
        <f t="shared" si="261"/>
        <v>-</v>
      </c>
      <c r="AB61" s="52" t="str">
        <f t="shared" si="262"/>
        <v>-</v>
      </c>
      <c r="AC61" s="52" t="str">
        <f t="shared" si="263"/>
        <v>-</v>
      </c>
      <c r="AD61" s="52" t="str">
        <f t="shared" si="264"/>
        <v>-</v>
      </c>
      <c r="AE61" s="52" t="str">
        <f t="shared" si="265"/>
        <v>-</v>
      </c>
      <c r="AF61" s="52" t="str">
        <f t="shared" si="266"/>
        <v>-</v>
      </c>
      <c r="AG61" s="52" t="str">
        <f t="shared" si="267"/>
        <v>-</v>
      </c>
      <c r="AH61" s="52" t="str">
        <f t="shared" si="268"/>
        <v>-</v>
      </c>
      <c r="AI61" s="52" t="str">
        <f t="shared" si="269"/>
        <v>-</v>
      </c>
      <c r="AJ61" s="52" t="str">
        <f t="shared" si="270"/>
        <v>-</v>
      </c>
      <c r="AK61" s="52" t="str">
        <f t="shared" si="271"/>
        <v>-</v>
      </c>
      <c r="AL61" s="52" t="str">
        <f t="shared" si="272"/>
        <v>-</v>
      </c>
      <c r="AM61" s="53" t="str">
        <f t="shared" si="273"/>
        <v>-</v>
      </c>
      <c r="AN61" s="51" t="str">
        <f t="shared" si="274"/>
        <v>-</v>
      </c>
      <c r="AO61" s="52" t="str">
        <f t="shared" si="275"/>
        <v>-</v>
      </c>
      <c r="AP61" s="52" t="str">
        <f t="shared" si="276"/>
        <v>-</v>
      </c>
      <c r="AQ61" s="52" t="str">
        <f t="shared" si="277"/>
        <v>-</v>
      </c>
      <c r="AR61" s="52" t="str">
        <f t="shared" si="278"/>
        <v>-</v>
      </c>
      <c r="AS61" s="52" t="str">
        <f t="shared" si="279"/>
        <v>-</v>
      </c>
      <c r="AT61" s="52" t="str">
        <f t="shared" si="280"/>
        <v>-</v>
      </c>
      <c r="AU61" s="52" t="str">
        <f t="shared" si="281"/>
        <v>-</v>
      </c>
      <c r="AV61" s="52" t="str">
        <f t="shared" si="282"/>
        <v>-</v>
      </c>
      <c r="AW61" s="52" t="str">
        <f t="shared" si="283"/>
        <v>-</v>
      </c>
      <c r="AX61" s="52" t="str">
        <f t="shared" si="284"/>
        <v>-</v>
      </c>
      <c r="AY61" s="52" t="str">
        <f t="shared" si="285"/>
        <v>-</v>
      </c>
      <c r="AZ61" s="52" t="str">
        <f t="shared" si="286"/>
        <v>-</v>
      </c>
      <c r="BA61" s="52" t="str">
        <f t="shared" si="287"/>
        <v>-</v>
      </c>
      <c r="BB61" s="52" t="str">
        <f t="shared" si="288"/>
        <v>-</v>
      </c>
      <c r="BC61" s="52" t="str">
        <f t="shared" si="289"/>
        <v>-</v>
      </c>
      <c r="BD61" s="52" t="str">
        <f t="shared" si="290"/>
        <v>-</v>
      </c>
      <c r="BE61" s="53" t="str">
        <f t="shared" si="291"/>
        <v>-</v>
      </c>
      <c r="BF61" s="51" t="str">
        <f t="shared" si="292"/>
        <v>-</v>
      </c>
      <c r="BG61" s="52" t="str">
        <f t="shared" si="293"/>
        <v>-</v>
      </c>
      <c r="BH61" s="52" t="str">
        <f t="shared" si="294"/>
        <v>-</v>
      </c>
      <c r="BI61" s="52" t="str">
        <f t="shared" si="295"/>
        <v>-</v>
      </c>
      <c r="BJ61" s="52" t="str">
        <f t="shared" si="296"/>
        <v>-</v>
      </c>
      <c r="BK61" s="52" t="str">
        <f t="shared" si="297"/>
        <v>-</v>
      </c>
      <c r="BL61" s="52" t="str">
        <f t="shared" si="298"/>
        <v>-</v>
      </c>
      <c r="BM61" s="52" t="str">
        <f t="shared" si="299"/>
        <v>-</v>
      </c>
      <c r="BN61" s="52">
        <f t="shared" si="300"/>
        <v>40.75</v>
      </c>
      <c r="BO61" s="52" t="str">
        <f t="shared" si="301"/>
        <v>-</v>
      </c>
      <c r="BP61" s="52" t="str">
        <f t="shared" si="302"/>
        <v>-</v>
      </c>
      <c r="BQ61" s="52" t="str">
        <f t="shared" si="303"/>
        <v>-</v>
      </c>
      <c r="BR61" s="52" t="str">
        <f t="shared" si="304"/>
        <v>-</v>
      </c>
      <c r="BS61" s="52" t="str">
        <f t="shared" si="305"/>
        <v>-</v>
      </c>
      <c r="BT61" s="52" t="str">
        <f t="shared" si="306"/>
        <v>-</v>
      </c>
      <c r="BU61" s="52" t="str">
        <f t="shared" si="307"/>
        <v>-</v>
      </c>
      <c r="BV61" s="52" t="str">
        <f t="shared" si="308"/>
        <v>-</v>
      </c>
      <c r="BW61" s="53" t="str">
        <f t="shared" si="309"/>
        <v>-</v>
      </c>
      <c r="BX61" s="51" t="str">
        <f t="shared" si="310"/>
        <v>-</v>
      </c>
      <c r="BY61" s="52" t="str">
        <f t="shared" si="311"/>
        <v>-</v>
      </c>
      <c r="BZ61" s="52" t="str">
        <f t="shared" si="312"/>
        <v>-</v>
      </c>
      <c r="CA61" s="52" t="str">
        <f t="shared" si="313"/>
        <v>-</v>
      </c>
      <c r="CB61" s="52" t="str">
        <f t="shared" si="314"/>
        <v>-</v>
      </c>
      <c r="CC61" s="52" t="str">
        <f t="shared" si="315"/>
        <v>-</v>
      </c>
      <c r="CD61" s="52" t="str">
        <f t="shared" si="316"/>
        <v>-</v>
      </c>
      <c r="CE61" s="52" t="str">
        <f t="shared" si="317"/>
        <v>-</v>
      </c>
      <c r="CF61" s="52" t="str">
        <f t="shared" si="318"/>
        <v>-</v>
      </c>
      <c r="CG61" s="52" t="str">
        <f t="shared" si="319"/>
        <v>-</v>
      </c>
      <c r="CH61" s="52" t="str">
        <f t="shared" si="320"/>
        <v>-</v>
      </c>
      <c r="CI61" s="52" t="str">
        <f t="shared" si="321"/>
        <v>-</v>
      </c>
      <c r="CJ61" s="52" t="str">
        <f t="shared" si="322"/>
        <v>-</v>
      </c>
      <c r="CK61" s="52" t="str">
        <f t="shared" si="323"/>
        <v>-</v>
      </c>
      <c r="CL61" s="52" t="str">
        <f t="shared" si="324"/>
        <v>-</v>
      </c>
      <c r="CM61" s="52" t="str">
        <f t="shared" si="325"/>
        <v>-</v>
      </c>
      <c r="CN61" s="52" t="str">
        <f t="shared" si="326"/>
        <v>-</v>
      </c>
      <c r="CO61" s="53" t="str">
        <f t="shared" si="327"/>
        <v>-</v>
      </c>
      <c r="CQ61" s="305" t="str">
        <f t="shared" si="126"/>
        <v>-</v>
      </c>
      <c r="CR61" s="305" t="str">
        <f t="shared" si="127"/>
        <v>-</v>
      </c>
      <c r="CS61" s="305" t="str">
        <f t="shared" si="128"/>
        <v>-</v>
      </c>
      <c r="CT61" s="305">
        <f t="shared" si="129"/>
        <v>42.35</v>
      </c>
      <c r="CU61" s="305" t="str">
        <f t="shared" si="130"/>
        <v>-</v>
      </c>
      <c r="CV61" s="305" t="str">
        <f t="shared" si="131"/>
        <v>-</v>
      </c>
      <c r="CX61" s="51">
        <f t="shared" si="208"/>
        <v>41.15</v>
      </c>
      <c r="CY61" s="52" t="str">
        <f t="shared" si="209"/>
        <v>-</v>
      </c>
      <c r="CZ61" s="53" t="str">
        <f t="shared" si="210"/>
        <v>-</v>
      </c>
      <c r="DA61" s="51" t="str">
        <f t="shared" si="211"/>
        <v>-</v>
      </c>
      <c r="DB61" s="52" t="str">
        <f t="shared" si="212"/>
        <v>-</v>
      </c>
      <c r="DC61" s="53" t="str">
        <f t="shared" si="213"/>
        <v>-</v>
      </c>
      <c r="DD61" s="57"/>
      <c r="DE61" s="106" t="str">
        <f t="shared" si="214"/>
        <v>-</v>
      </c>
      <c r="DF61" s="107" t="str">
        <f t="shared" si="215"/>
        <v>-</v>
      </c>
      <c r="DG61" s="107" t="str">
        <f t="shared" si="216"/>
        <v>-</v>
      </c>
      <c r="DH61" s="107" t="str">
        <f t="shared" si="217"/>
        <v>-</v>
      </c>
      <c r="DI61" s="107">
        <f t="shared" si="218"/>
        <v>41.15</v>
      </c>
      <c r="DJ61" s="107" t="str">
        <f t="shared" si="219"/>
        <v>-</v>
      </c>
      <c r="DK61" s="107" t="str">
        <f t="shared" si="220"/>
        <v>-</v>
      </c>
      <c r="DL61" s="107" t="str">
        <f t="shared" si="221"/>
        <v>-</v>
      </c>
      <c r="DM61" s="108" t="str">
        <f t="shared" si="222"/>
        <v>-</v>
      </c>
      <c r="DO61" s="106" t="str">
        <f t="shared" si="223"/>
        <v>-</v>
      </c>
      <c r="DP61" s="107" t="str">
        <f t="shared" si="224"/>
        <v>-</v>
      </c>
      <c r="DQ61" s="107" t="str">
        <f t="shared" si="225"/>
        <v>-</v>
      </c>
      <c r="DR61" s="107" t="str">
        <f t="shared" si="226"/>
        <v>-</v>
      </c>
      <c r="DS61" s="107">
        <f t="shared" si="227"/>
        <v>41.15</v>
      </c>
      <c r="DT61" s="107" t="str">
        <f t="shared" si="228"/>
        <v>-</v>
      </c>
      <c r="DU61" s="107" t="str">
        <f t="shared" si="229"/>
        <v>-</v>
      </c>
      <c r="DV61" s="107" t="str">
        <f t="shared" si="230"/>
        <v>-</v>
      </c>
      <c r="DW61" s="108" t="str">
        <f t="shared" si="231"/>
        <v>-</v>
      </c>
      <c r="DX61" s="109" t="str">
        <f t="shared" si="232"/>
        <v>-</v>
      </c>
      <c r="DY61" s="110" t="str">
        <f t="shared" si="233"/>
        <v>-</v>
      </c>
      <c r="DZ61" s="110" t="str">
        <f t="shared" si="234"/>
        <v>-</v>
      </c>
      <c r="EA61" s="110" t="str">
        <f t="shared" si="235"/>
        <v>-</v>
      </c>
      <c r="EB61" s="110" t="str">
        <f t="shared" si="236"/>
        <v>-</v>
      </c>
      <c r="EC61" s="110" t="str">
        <f t="shared" si="237"/>
        <v>-</v>
      </c>
      <c r="ED61" s="110" t="str">
        <f t="shared" si="238"/>
        <v>-</v>
      </c>
      <c r="EE61" s="110" t="str">
        <f t="shared" si="239"/>
        <v>-</v>
      </c>
      <c r="EF61" s="111" t="str">
        <f t="shared" si="240"/>
        <v>-</v>
      </c>
      <c r="EG61" s="109" t="str">
        <f t="shared" si="241"/>
        <v>-</v>
      </c>
      <c r="EH61" s="110" t="str">
        <f t="shared" si="242"/>
        <v>-</v>
      </c>
      <c r="EI61" s="110" t="str">
        <f t="shared" si="243"/>
        <v>-</v>
      </c>
      <c r="EJ61" s="110" t="str">
        <f t="shared" si="244"/>
        <v>-</v>
      </c>
      <c r="EK61" s="110" t="str">
        <f t="shared" si="245"/>
        <v>-</v>
      </c>
      <c r="EL61" s="110" t="str">
        <f t="shared" si="246"/>
        <v>-</v>
      </c>
      <c r="EM61" s="110" t="str">
        <f t="shared" si="247"/>
        <v>-</v>
      </c>
      <c r="EN61" s="110" t="str">
        <f t="shared" si="248"/>
        <v>-</v>
      </c>
      <c r="EO61" s="111" t="str">
        <f t="shared" si="249"/>
        <v>-</v>
      </c>
      <c r="EQ61" s="118" t="str">
        <f t="shared" si="250"/>
        <v>-</v>
      </c>
      <c r="ER61" s="119">
        <f t="shared" si="251"/>
        <v>41.15</v>
      </c>
      <c r="ES61" s="120" t="str">
        <f t="shared" si="252"/>
        <v>-</v>
      </c>
      <c r="ET61" s="90">
        <v>2</v>
      </c>
      <c r="EU61" s="118" t="str">
        <f t="shared" si="253"/>
        <v>-</v>
      </c>
      <c r="EV61" s="119">
        <f t="shared" si="254"/>
        <v>2</v>
      </c>
      <c r="EW61" s="120" t="str">
        <f t="shared" si="255"/>
        <v>-</v>
      </c>
    </row>
    <row r="62" spans="1:153" ht="15.75" thickBot="1" x14ac:dyDescent="0.3">
      <c r="A62" s="41"/>
      <c r="B62" s="171" t="s">
        <v>498</v>
      </c>
      <c r="C62" s="171" t="s">
        <v>499</v>
      </c>
      <c r="D62" s="42">
        <f>VLOOKUP(B62,'BASE DE DATOS'!$B$3:$E$106,2,FALSE)</f>
        <v>33.44</v>
      </c>
      <c r="E62" s="42">
        <f>VLOOKUP(B62,'BASE DE DATOS'!$B$3:$E$106,4,FALSE)</f>
        <v>1.3099999999999952</v>
      </c>
      <c r="F62" s="42">
        <f>VLOOKUP(C62,'BASE DE DATOS'!$B$3:$E$106,2,FALSE)</f>
        <v>33.46</v>
      </c>
      <c r="G62" s="42">
        <f>VLOOKUP(C62,'BASE DE DATOS'!$B$3:$E$106,4,FALSE)</f>
        <v>2.7100000000000009</v>
      </c>
      <c r="H62" s="43">
        <f t="shared" si="135"/>
        <v>2.009999999999998</v>
      </c>
      <c r="I62" s="171">
        <v>39.020000000000003</v>
      </c>
      <c r="J62" s="44">
        <f t="shared" si="132"/>
        <v>39.049999999999997</v>
      </c>
      <c r="K62" s="40">
        <f t="shared" si="133"/>
        <v>37.450000000000003</v>
      </c>
      <c r="L62" s="40">
        <f t="shared" si="134"/>
        <v>37.85</v>
      </c>
      <c r="M62" s="44">
        <f t="shared" si="124"/>
        <v>200</v>
      </c>
      <c r="N62" s="40">
        <f t="shared" si="125"/>
        <v>39.020000000000003</v>
      </c>
      <c r="O62" s="171" t="s">
        <v>120</v>
      </c>
      <c r="P62" s="19">
        <v>187.6</v>
      </c>
      <c r="Q62" s="171" t="s">
        <v>123</v>
      </c>
      <c r="R62" s="171" t="s">
        <v>133</v>
      </c>
      <c r="S62" s="171" t="s">
        <v>148</v>
      </c>
      <c r="T62" s="171" t="s">
        <v>149</v>
      </c>
      <c r="V62" s="51" t="str">
        <f t="shared" si="256"/>
        <v>-</v>
      </c>
      <c r="W62" s="52" t="str">
        <f t="shared" si="257"/>
        <v>-</v>
      </c>
      <c r="X62" s="52" t="str">
        <f t="shared" si="258"/>
        <v>-</v>
      </c>
      <c r="Y62" s="52" t="str">
        <f t="shared" si="259"/>
        <v>-</v>
      </c>
      <c r="Z62" s="52" t="str">
        <f t="shared" si="260"/>
        <v>-</v>
      </c>
      <c r="AA62" s="52" t="str">
        <f t="shared" si="261"/>
        <v>-</v>
      </c>
      <c r="AB62" s="52" t="str">
        <f t="shared" si="262"/>
        <v>-</v>
      </c>
      <c r="AC62" s="52" t="str">
        <f t="shared" si="263"/>
        <v>-</v>
      </c>
      <c r="AD62" s="52" t="str">
        <f t="shared" si="264"/>
        <v>-</v>
      </c>
      <c r="AE62" s="52" t="str">
        <f t="shared" si="265"/>
        <v>-</v>
      </c>
      <c r="AF62" s="52" t="str">
        <f t="shared" si="266"/>
        <v>-</v>
      </c>
      <c r="AG62" s="52" t="str">
        <f t="shared" si="267"/>
        <v>-</v>
      </c>
      <c r="AH62" s="52" t="str">
        <f t="shared" si="268"/>
        <v>-</v>
      </c>
      <c r="AI62" s="52" t="str">
        <f t="shared" si="269"/>
        <v>-</v>
      </c>
      <c r="AJ62" s="52" t="str">
        <f t="shared" si="270"/>
        <v>-</v>
      </c>
      <c r="AK62" s="52" t="str">
        <f t="shared" si="271"/>
        <v>-</v>
      </c>
      <c r="AL62" s="52" t="str">
        <f t="shared" si="272"/>
        <v>-</v>
      </c>
      <c r="AM62" s="53" t="str">
        <f t="shared" si="273"/>
        <v>-</v>
      </c>
      <c r="AN62" s="51" t="str">
        <f t="shared" si="274"/>
        <v>-</v>
      </c>
      <c r="AO62" s="52" t="str">
        <f t="shared" si="275"/>
        <v>-</v>
      </c>
      <c r="AP62" s="52" t="str">
        <f t="shared" si="276"/>
        <v>-</v>
      </c>
      <c r="AQ62" s="52" t="str">
        <f t="shared" si="277"/>
        <v>-</v>
      </c>
      <c r="AR62" s="52" t="str">
        <f t="shared" si="278"/>
        <v>-</v>
      </c>
      <c r="AS62" s="52" t="str">
        <f t="shared" si="279"/>
        <v>-</v>
      </c>
      <c r="AT62" s="52" t="str">
        <f t="shared" si="280"/>
        <v>-</v>
      </c>
      <c r="AU62" s="52" t="str">
        <f t="shared" si="281"/>
        <v>-</v>
      </c>
      <c r="AV62" s="52" t="str">
        <f t="shared" si="282"/>
        <v>-</v>
      </c>
      <c r="AW62" s="52" t="str">
        <f t="shared" si="283"/>
        <v>-</v>
      </c>
      <c r="AX62" s="52" t="str">
        <f t="shared" si="284"/>
        <v>-</v>
      </c>
      <c r="AY62" s="52" t="str">
        <f t="shared" si="285"/>
        <v>-</v>
      </c>
      <c r="AZ62" s="52" t="str">
        <f t="shared" si="286"/>
        <v>-</v>
      </c>
      <c r="BA62" s="52" t="str">
        <f t="shared" si="287"/>
        <v>-</v>
      </c>
      <c r="BB62" s="52" t="str">
        <f t="shared" si="288"/>
        <v>-</v>
      </c>
      <c r="BC62" s="52" t="str">
        <f t="shared" si="289"/>
        <v>-</v>
      </c>
      <c r="BD62" s="52" t="str">
        <f t="shared" si="290"/>
        <v>-</v>
      </c>
      <c r="BE62" s="53" t="str">
        <f t="shared" si="291"/>
        <v>-</v>
      </c>
      <c r="BF62" s="51" t="str">
        <f t="shared" si="292"/>
        <v>-</v>
      </c>
      <c r="BG62" s="52" t="str">
        <f t="shared" si="293"/>
        <v>-</v>
      </c>
      <c r="BH62" s="52" t="str">
        <f t="shared" si="294"/>
        <v>-</v>
      </c>
      <c r="BI62" s="52" t="str">
        <f t="shared" si="295"/>
        <v>-</v>
      </c>
      <c r="BJ62" s="52" t="str">
        <f t="shared" si="296"/>
        <v>-</v>
      </c>
      <c r="BK62" s="52" t="str">
        <f t="shared" si="297"/>
        <v>-</v>
      </c>
      <c r="BL62" s="52" t="str">
        <f t="shared" si="298"/>
        <v>-</v>
      </c>
      <c r="BM62" s="52" t="str">
        <f t="shared" si="299"/>
        <v>-</v>
      </c>
      <c r="BN62" s="52" t="str">
        <f t="shared" si="300"/>
        <v>-</v>
      </c>
      <c r="BO62" s="52">
        <f t="shared" si="301"/>
        <v>37.450000000000003</v>
      </c>
      <c r="BP62" s="52" t="str">
        <f t="shared" si="302"/>
        <v>-</v>
      </c>
      <c r="BQ62" s="52" t="str">
        <f t="shared" si="303"/>
        <v>-</v>
      </c>
      <c r="BR62" s="52" t="str">
        <f t="shared" si="304"/>
        <v>-</v>
      </c>
      <c r="BS62" s="52" t="str">
        <f t="shared" si="305"/>
        <v>-</v>
      </c>
      <c r="BT62" s="52" t="str">
        <f t="shared" si="306"/>
        <v>-</v>
      </c>
      <c r="BU62" s="52" t="str">
        <f t="shared" si="307"/>
        <v>-</v>
      </c>
      <c r="BV62" s="52" t="str">
        <f t="shared" si="308"/>
        <v>-</v>
      </c>
      <c r="BW62" s="53" t="str">
        <f t="shared" si="309"/>
        <v>-</v>
      </c>
      <c r="BX62" s="51" t="str">
        <f t="shared" si="310"/>
        <v>-</v>
      </c>
      <c r="BY62" s="52" t="str">
        <f t="shared" si="311"/>
        <v>-</v>
      </c>
      <c r="BZ62" s="52" t="str">
        <f t="shared" si="312"/>
        <v>-</v>
      </c>
      <c r="CA62" s="52" t="str">
        <f t="shared" si="313"/>
        <v>-</v>
      </c>
      <c r="CB62" s="52" t="str">
        <f t="shared" si="314"/>
        <v>-</v>
      </c>
      <c r="CC62" s="52" t="str">
        <f t="shared" si="315"/>
        <v>-</v>
      </c>
      <c r="CD62" s="52" t="str">
        <f t="shared" si="316"/>
        <v>-</v>
      </c>
      <c r="CE62" s="52" t="str">
        <f t="shared" si="317"/>
        <v>-</v>
      </c>
      <c r="CF62" s="52" t="str">
        <f t="shared" si="318"/>
        <v>-</v>
      </c>
      <c r="CG62" s="52" t="str">
        <f t="shared" si="319"/>
        <v>-</v>
      </c>
      <c r="CH62" s="52" t="str">
        <f t="shared" si="320"/>
        <v>-</v>
      </c>
      <c r="CI62" s="52" t="str">
        <f t="shared" si="321"/>
        <v>-</v>
      </c>
      <c r="CJ62" s="52" t="str">
        <f t="shared" si="322"/>
        <v>-</v>
      </c>
      <c r="CK62" s="52" t="str">
        <f t="shared" si="323"/>
        <v>-</v>
      </c>
      <c r="CL62" s="52" t="str">
        <f t="shared" si="324"/>
        <v>-</v>
      </c>
      <c r="CM62" s="52" t="str">
        <f t="shared" si="325"/>
        <v>-</v>
      </c>
      <c r="CN62" s="52" t="str">
        <f t="shared" si="326"/>
        <v>-</v>
      </c>
      <c r="CO62" s="53" t="str">
        <f t="shared" si="327"/>
        <v>-</v>
      </c>
      <c r="CQ62" s="305" t="str">
        <f t="shared" si="126"/>
        <v>-</v>
      </c>
      <c r="CR62" s="305" t="str">
        <f t="shared" si="127"/>
        <v>-</v>
      </c>
      <c r="CS62" s="305" t="str">
        <f t="shared" si="128"/>
        <v>-</v>
      </c>
      <c r="CT62" s="305">
        <f t="shared" si="129"/>
        <v>39.020000000000003</v>
      </c>
      <c r="CU62" s="305" t="str">
        <f t="shared" si="130"/>
        <v>-</v>
      </c>
      <c r="CV62" s="305" t="str">
        <f t="shared" si="131"/>
        <v>-</v>
      </c>
      <c r="CX62" s="51" t="str">
        <f t="shared" si="208"/>
        <v>-</v>
      </c>
      <c r="CY62" s="52">
        <f t="shared" si="209"/>
        <v>37.85</v>
      </c>
      <c r="CZ62" s="53" t="str">
        <f t="shared" si="210"/>
        <v>-</v>
      </c>
      <c r="DA62" s="51" t="str">
        <f t="shared" si="211"/>
        <v>-</v>
      </c>
      <c r="DB62" s="52" t="str">
        <f t="shared" si="212"/>
        <v>-</v>
      </c>
      <c r="DC62" s="53" t="str">
        <f t="shared" si="213"/>
        <v>-</v>
      </c>
      <c r="DD62" s="57"/>
      <c r="DE62" s="106" t="str">
        <f t="shared" si="214"/>
        <v>-</v>
      </c>
      <c r="DF62" s="107" t="str">
        <f t="shared" si="215"/>
        <v>-</v>
      </c>
      <c r="DG62" s="107" t="str">
        <f t="shared" si="216"/>
        <v>-</v>
      </c>
      <c r="DH62" s="107" t="str">
        <f t="shared" si="217"/>
        <v>-</v>
      </c>
      <c r="DI62" s="107" t="str">
        <f t="shared" si="218"/>
        <v>-</v>
      </c>
      <c r="DJ62" s="107" t="str">
        <f t="shared" si="219"/>
        <v>-</v>
      </c>
      <c r="DK62" s="107" t="str">
        <f t="shared" si="220"/>
        <v>-</v>
      </c>
      <c r="DL62" s="107" t="str">
        <f t="shared" si="221"/>
        <v>-</v>
      </c>
      <c r="DM62" s="108" t="str">
        <f t="shared" si="222"/>
        <v>-</v>
      </c>
      <c r="DO62" s="106" t="str">
        <f t="shared" si="223"/>
        <v>-</v>
      </c>
      <c r="DP62" s="107" t="str">
        <f t="shared" si="224"/>
        <v>-</v>
      </c>
      <c r="DQ62" s="107" t="str">
        <f t="shared" si="225"/>
        <v>-</v>
      </c>
      <c r="DR62" s="107" t="str">
        <f t="shared" si="226"/>
        <v>-</v>
      </c>
      <c r="DS62" s="107" t="str">
        <f t="shared" si="227"/>
        <v>-</v>
      </c>
      <c r="DT62" s="107" t="str">
        <f t="shared" si="228"/>
        <v>-</v>
      </c>
      <c r="DU62" s="107" t="str">
        <f t="shared" si="229"/>
        <v>-</v>
      </c>
      <c r="DV62" s="107" t="str">
        <f t="shared" si="230"/>
        <v>-</v>
      </c>
      <c r="DW62" s="108" t="str">
        <f t="shared" si="231"/>
        <v>-</v>
      </c>
      <c r="DX62" s="109" t="str">
        <f t="shared" si="232"/>
        <v>-</v>
      </c>
      <c r="DY62" s="110" t="str">
        <f t="shared" si="233"/>
        <v>-</v>
      </c>
      <c r="DZ62" s="110" t="str">
        <f t="shared" si="234"/>
        <v>-</v>
      </c>
      <c r="EA62" s="110">
        <f t="shared" si="235"/>
        <v>39.020000000000003</v>
      </c>
      <c r="EB62" s="110" t="str">
        <f t="shared" si="236"/>
        <v>-</v>
      </c>
      <c r="EC62" s="110" t="str">
        <f t="shared" si="237"/>
        <v>-</v>
      </c>
      <c r="ED62" s="110" t="str">
        <f t="shared" si="238"/>
        <v>-</v>
      </c>
      <c r="EE62" s="110" t="str">
        <f t="shared" si="239"/>
        <v>-</v>
      </c>
      <c r="EF62" s="111" t="str">
        <f t="shared" si="240"/>
        <v>-</v>
      </c>
      <c r="EG62" s="109" t="str">
        <f t="shared" si="241"/>
        <v>-</v>
      </c>
      <c r="EH62" s="110" t="str">
        <f t="shared" si="242"/>
        <v>-</v>
      </c>
      <c r="EI62" s="110" t="str">
        <f t="shared" si="243"/>
        <v>-</v>
      </c>
      <c r="EJ62" s="110" t="str">
        <f t="shared" si="244"/>
        <v>-</v>
      </c>
      <c r="EK62" s="110" t="str">
        <f t="shared" si="245"/>
        <v>-</v>
      </c>
      <c r="EL62" s="110" t="str">
        <f t="shared" si="246"/>
        <v>-</v>
      </c>
      <c r="EM62" s="110" t="str">
        <f t="shared" si="247"/>
        <v>-</v>
      </c>
      <c r="EN62" s="110" t="str">
        <f t="shared" si="248"/>
        <v>-</v>
      </c>
      <c r="EO62" s="111" t="str">
        <f t="shared" si="249"/>
        <v>-</v>
      </c>
      <c r="EQ62" s="118">
        <f t="shared" si="250"/>
        <v>37.85</v>
      </c>
      <c r="ER62" s="119" t="str">
        <f t="shared" si="251"/>
        <v>-</v>
      </c>
      <c r="ES62" s="120" t="str">
        <f t="shared" si="252"/>
        <v>-</v>
      </c>
      <c r="ET62" s="90">
        <v>2</v>
      </c>
      <c r="EU62" s="118">
        <f t="shared" si="253"/>
        <v>2</v>
      </c>
      <c r="EV62" s="119" t="str">
        <f t="shared" si="254"/>
        <v>-</v>
      </c>
      <c r="EW62" s="120" t="str">
        <f t="shared" si="255"/>
        <v>-</v>
      </c>
    </row>
    <row r="63" spans="1:153" ht="15.75" thickBot="1" x14ac:dyDescent="0.3">
      <c r="A63" s="41"/>
      <c r="B63" s="171" t="s">
        <v>499</v>
      </c>
      <c r="C63" s="171" t="s">
        <v>500</v>
      </c>
      <c r="D63" s="42">
        <f>VLOOKUP(B63,'BASE DE DATOS'!$B$3:$E$106,2,FALSE)</f>
        <v>33.46</v>
      </c>
      <c r="E63" s="42">
        <f>VLOOKUP(B63,'BASE DE DATOS'!$B$3:$E$106,4,FALSE)</f>
        <v>2.7100000000000009</v>
      </c>
      <c r="F63" s="42">
        <f>VLOOKUP(C63,'BASE DE DATOS'!$B$3:$E$106,2,FALSE)</f>
        <v>32.770000000000003</v>
      </c>
      <c r="G63" s="42">
        <f>VLOOKUP(C63,'BASE DE DATOS'!$B$3:$E$106,4,FALSE)</f>
        <v>2.1700000000000017</v>
      </c>
      <c r="H63" s="43">
        <f t="shared" si="135"/>
        <v>2.4400000000000013</v>
      </c>
      <c r="I63" s="171">
        <v>44.09</v>
      </c>
      <c r="J63" s="44">
        <f t="shared" si="132"/>
        <v>44.09</v>
      </c>
      <c r="K63" s="40">
        <f t="shared" si="133"/>
        <v>42.49</v>
      </c>
      <c r="L63" s="40">
        <f t="shared" si="134"/>
        <v>42.89</v>
      </c>
      <c r="M63" s="44">
        <f t="shared" si="124"/>
        <v>250</v>
      </c>
      <c r="N63" s="40">
        <f t="shared" si="125"/>
        <v>44.1</v>
      </c>
      <c r="O63" s="171" t="s">
        <v>120</v>
      </c>
      <c r="P63" s="19">
        <v>234.6</v>
      </c>
      <c r="Q63" s="171" t="s">
        <v>122</v>
      </c>
      <c r="R63" s="171" t="s">
        <v>133</v>
      </c>
      <c r="S63" s="171" t="s">
        <v>148</v>
      </c>
      <c r="T63" s="171" t="s">
        <v>149</v>
      </c>
      <c r="V63" s="51" t="str">
        <f t="shared" si="256"/>
        <v>-</v>
      </c>
      <c r="W63" s="52" t="str">
        <f t="shared" si="257"/>
        <v>-</v>
      </c>
      <c r="X63" s="52" t="str">
        <f t="shared" si="258"/>
        <v>-</v>
      </c>
      <c r="Y63" s="52" t="str">
        <f t="shared" si="259"/>
        <v>-</v>
      </c>
      <c r="Z63" s="52" t="str">
        <f t="shared" si="260"/>
        <v>-</v>
      </c>
      <c r="AA63" s="52" t="str">
        <f t="shared" si="261"/>
        <v>-</v>
      </c>
      <c r="AB63" s="52" t="str">
        <f t="shared" si="262"/>
        <v>-</v>
      </c>
      <c r="AC63" s="52" t="str">
        <f t="shared" si="263"/>
        <v>-</v>
      </c>
      <c r="AD63" s="52" t="str">
        <f t="shared" si="264"/>
        <v>-</v>
      </c>
      <c r="AE63" s="52" t="str">
        <f t="shared" si="265"/>
        <v>-</v>
      </c>
      <c r="AF63" s="52" t="str">
        <f t="shared" si="266"/>
        <v>-</v>
      </c>
      <c r="AG63" s="52" t="str">
        <f t="shared" si="267"/>
        <v>-</v>
      </c>
      <c r="AH63" s="52" t="str">
        <f t="shared" si="268"/>
        <v>-</v>
      </c>
      <c r="AI63" s="52" t="str">
        <f t="shared" si="269"/>
        <v>-</v>
      </c>
      <c r="AJ63" s="52" t="str">
        <f t="shared" si="270"/>
        <v>-</v>
      </c>
      <c r="AK63" s="52" t="str">
        <f t="shared" si="271"/>
        <v>-</v>
      </c>
      <c r="AL63" s="52" t="str">
        <f t="shared" si="272"/>
        <v>-</v>
      </c>
      <c r="AM63" s="53" t="str">
        <f t="shared" si="273"/>
        <v>-</v>
      </c>
      <c r="AN63" s="51" t="str">
        <f t="shared" si="274"/>
        <v>-</v>
      </c>
      <c r="AO63" s="52" t="str">
        <f t="shared" si="275"/>
        <v>-</v>
      </c>
      <c r="AP63" s="52" t="str">
        <f t="shared" si="276"/>
        <v>-</v>
      </c>
      <c r="AQ63" s="52" t="str">
        <f t="shared" si="277"/>
        <v>-</v>
      </c>
      <c r="AR63" s="52" t="str">
        <f t="shared" si="278"/>
        <v>-</v>
      </c>
      <c r="AS63" s="52" t="str">
        <f t="shared" si="279"/>
        <v>-</v>
      </c>
      <c r="AT63" s="52" t="str">
        <f t="shared" si="280"/>
        <v>-</v>
      </c>
      <c r="AU63" s="52" t="str">
        <f t="shared" si="281"/>
        <v>-</v>
      </c>
      <c r="AV63" s="52" t="str">
        <f t="shared" si="282"/>
        <v>-</v>
      </c>
      <c r="AW63" s="52" t="str">
        <f t="shared" si="283"/>
        <v>-</v>
      </c>
      <c r="AX63" s="52" t="str">
        <f t="shared" si="284"/>
        <v>-</v>
      </c>
      <c r="AY63" s="52" t="str">
        <f t="shared" si="285"/>
        <v>-</v>
      </c>
      <c r="AZ63" s="52" t="str">
        <f t="shared" si="286"/>
        <v>-</v>
      </c>
      <c r="BA63" s="52" t="str">
        <f t="shared" si="287"/>
        <v>-</v>
      </c>
      <c r="BB63" s="52" t="str">
        <f t="shared" si="288"/>
        <v>-</v>
      </c>
      <c r="BC63" s="52" t="str">
        <f t="shared" si="289"/>
        <v>-</v>
      </c>
      <c r="BD63" s="52" t="str">
        <f t="shared" si="290"/>
        <v>-</v>
      </c>
      <c r="BE63" s="53" t="str">
        <f t="shared" si="291"/>
        <v>-</v>
      </c>
      <c r="BF63" s="51" t="str">
        <f t="shared" si="292"/>
        <v>-</v>
      </c>
      <c r="BG63" s="52" t="str">
        <f t="shared" si="293"/>
        <v>-</v>
      </c>
      <c r="BH63" s="52" t="str">
        <f t="shared" si="294"/>
        <v>-</v>
      </c>
      <c r="BI63" s="52" t="str">
        <f t="shared" si="295"/>
        <v>-</v>
      </c>
      <c r="BJ63" s="52" t="str">
        <f t="shared" si="296"/>
        <v>-</v>
      </c>
      <c r="BK63" s="52" t="str">
        <f t="shared" si="297"/>
        <v>-</v>
      </c>
      <c r="BL63" s="52" t="str">
        <f t="shared" si="298"/>
        <v>-</v>
      </c>
      <c r="BM63" s="52" t="str">
        <f t="shared" si="299"/>
        <v>-</v>
      </c>
      <c r="BN63" s="52">
        <f t="shared" si="300"/>
        <v>42.49</v>
      </c>
      <c r="BO63" s="52" t="str">
        <f t="shared" si="301"/>
        <v>-</v>
      </c>
      <c r="BP63" s="52" t="str">
        <f t="shared" si="302"/>
        <v>-</v>
      </c>
      <c r="BQ63" s="52" t="str">
        <f t="shared" si="303"/>
        <v>-</v>
      </c>
      <c r="BR63" s="52" t="str">
        <f t="shared" si="304"/>
        <v>-</v>
      </c>
      <c r="BS63" s="52" t="str">
        <f t="shared" si="305"/>
        <v>-</v>
      </c>
      <c r="BT63" s="52" t="str">
        <f t="shared" si="306"/>
        <v>-</v>
      </c>
      <c r="BU63" s="52" t="str">
        <f t="shared" si="307"/>
        <v>-</v>
      </c>
      <c r="BV63" s="52" t="str">
        <f t="shared" si="308"/>
        <v>-</v>
      </c>
      <c r="BW63" s="53" t="str">
        <f t="shared" si="309"/>
        <v>-</v>
      </c>
      <c r="BX63" s="51" t="str">
        <f t="shared" si="310"/>
        <v>-</v>
      </c>
      <c r="BY63" s="52" t="str">
        <f t="shared" si="311"/>
        <v>-</v>
      </c>
      <c r="BZ63" s="52" t="str">
        <f t="shared" si="312"/>
        <v>-</v>
      </c>
      <c r="CA63" s="52" t="str">
        <f t="shared" si="313"/>
        <v>-</v>
      </c>
      <c r="CB63" s="52" t="str">
        <f t="shared" si="314"/>
        <v>-</v>
      </c>
      <c r="CC63" s="52" t="str">
        <f t="shared" si="315"/>
        <v>-</v>
      </c>
      <c r="CD63" s="52" t="str">
        <f t="shared" si="316"/>
        <v>-</v>
      </c>
      <c r="CE63" s="52" t="str">
        <f t="shared" si="317"/>
        <v>-</v>
      </c>
      <c r="CF63" s="52" t="str">
        <f t="shared" si="318"/>
        <v>-</v>
      </c>
      <c r="CG63" s="52" t="str">
        <f t="shared" si="319"/>
        <v>-</v>
      </c>
      <c r="CH63" s="52" t="str">
        <f t="shared" si="320"/>
        <v>-</v>
      </c>
      <c r="CI63" s="52" t="str">
        <f t="shared" si="321"/>
        <v>-</v>
      </c>
      <c r="CJ63" s="52" t="str">
        <f t="shared" si="322"/>
        <v>-</v>
      </c>
      <c r="CK63" s="52" t="str">
        <f t="shared" si="323"/>
        <v>-</v>
      </c>
      <c r="CL63" s="52" t="str">
        <f t="shared" si="324"/>
        <v>-</v>
      </c>
      <c r="CM63" s="52" t="str">
        <f t="shared" si="325"/>
        <v>-</v>
      </c>
      <c r="CN63" s="52" t="str">
        <f t="shared" si="326"/>
        <v>-</v>
      </c>
      <c r="CO63" s="53" t="str">
        <f t="shared" si="327"/>
        <v>-</v>
      </c>
      <c r="CQ63" s="305" t="str">
        <f t="shared" si="126"/>
        <v>-</v>
      </c>
      <c r="CR63" s="305" t="str">
        <f t="shared" si="127"/>
        <v>-</v>
      </c>
      <c r="CS63" s="305" t="str">
        <f t="shared" si="128"/>
        <v>-</v>
      </c>
      <c r="CT63" s="305">
        <f t="shared" si="129"/>
        <v>44.1</v>
      </c>
      <c r="CU63" s="305" t="str">
        <f t="shared" si="130"/>
        <v>-</v>
      </c>
      <c r="CV63" s="305" t="str">
        <f t="shared" si="131"/>
        <v>-</v>
      </c>
      <c r="CX63" s="51">
        <f t="shared" si="208"/>
        <v>42.89</v>
      </c>
      <c r="CY63" s="52" t="str">
        <f t="shared" si="209"/>
        <v>-</v>
      </c>
      <c r="CZ63" s="53" t="str">
        <f t="shared" si="210"/>
        <v>-</v>
      </c>
      <c r="DA63" s="51" t="str">
        <f t="shared" si="211"/>
        <v>-</v>
      </c>
      <c r="DB63" s="52" t="str">
        <f t="shared" si="212"/>
        <v>-</v>
      </c>
      <c r="DC63" s="53" t="str">
        <f t="shared" si="213"/>
        <v>-</v>
      </c>
      <c r="DD63" s="57"/>
      <c r="DE63" s="106" t="str">
        <f t="shared" si="214"/>
        <v>-</v>
      </c>
      <c r="DF63" s="107" t="str">
        <f t="shared" si="215"/>
        <v>-</v>
      </c>
      <c r="DG63" s="107" t="str">
        <f t="shared" si="216"/>
        <v>-</v>
      </c>
      <c r="DH63" s="107" t="str">
        <f t="shared" si="217"/>
        <v>-</v>
      </c>
      <c r="DI63" s="107">
        <f t="shared" si="218"/>
        <v>42.89</v>
      </c>
      <c r="DJ63" s="107" t="str">
        <f t="shared" si="219"/>
        <v>-</v>
      </c>
      <c r="DK63" s="107" t="str">
        <f t="shared" si="220"/>
        <v>-</v>
      </c>
      <c r="DL63" s="107" t="str">
        <f t="shared" si="221"/>
        <v>-</v>
      </c>
      <c r="DM63" s="108" t="str">
        <f t="shared" si="222"/>
        <v>-</v>
      </c>
      <c r="DO63" s="106" t="str">
        <f t="shared" si="223"/>
        <v>-</v>
      </c>
      <c r="DP63" s="107" t="str">
        <f t="shared" si="224"/>
        <v>-</v>
      </c>
      <c r="DQ63" s="107" t="str">
        <f t="shared" si="225"/>
        <v>-</v>
      </c>
      <c r="DR63" s="107" t="str">
        <f t="shared" si="226"/>
        <v>-</v>
      </c>
      <c r="DS63" s="107">
        <f t="shared" si="227"/>
        <v>42.89</v>
      </c>
      <c r="DT63" s="107" t="str">
        <f t="shared" si="228"/>
        <v>-</v>
      </c>
      <c r="DU63" s="107" t="str">
        <f t="shared" si="229"/>
        <v>-</v>
      </c>
      <c r="DV63" s="107" t="str">
        <f t="shared" si="230"/>
        <v>-</v>
      </c>
      <c r="DW63" s="108" t="str">
        <f t="shared" si="231"/>
        <v>-</v>
      </c>
      <c r="DX63" s="109" t="str">
        <f t="shared" si="232"/>
        <v>-</v>
      </c>
      <c r="DY63" s="110" t="str">
        <f t="shared" si="233"/>
        <v>-</v>
      </c>
      <c r="DZ63" s="110" t="str">
        <f t="shared" si="234"/>
        <v>-</v>
      </c>
      <c r="EA63" s="110" t="str">
        <f t="shared" si="235"/>
        <v>-</v>
      </c>
      <c r="EB63" s="110" t="str">
        <f t="shared" si="236"/>
        <v>-</v>
      </c>
      <c r="EC63" s="110" t="str">
        <f t="shared" si="237"/>
        <v>-</v>
      </c>
      <c r="ED63" s="110" t="str">
        <f t="shared" si="238"/>
        <v>-</v>
      </c>
      <c r="EE63" s="110" t="str">
        <f t="shared" si="239"/>
        <v>-</v>
      </c>
      <c r="EF63" s="111" t="str">
        <f t="shared" si="240"/>
        <v>-</v>
      </c>
      <c r="EG63" s="109" t="str">
        <f t="shared" si="241"/>
        <v>-</v>
      </c>
      <c r="EH63" s="110" t="str">
        <f t="shared" si="242"/>
        <v>-</v>
      </c>
      <c r="EI63" s="110" t="str">
        <f t="shared" si="243"/>
        <v>-</v>
      </c>
      <c r="EJ63" s="110" t="str">
        <f t="shared" si="244"/>
        <v>-</v>
      </c>
      <c r="EK63" s="110" t="str">
        <f t="shared" si="245"/>
        <v>-</v>
      </c>
      <c r="EL63" s="110" t="str">
        <f t="shared" si="246"/>
        <v>-</v>
      </c>
      <c r="EM63" s="110" t="str">
        <f t="shared" si="247"/>
        <v>-</v>
      </c>
      <c r="EN63" s="110" t="str">
        <f t="shared" si="248"/>
        <v>-</v>
      </c>
      <c r="EO63" s="111" t="str">
        <f t="shared" si="249"/>
        <v>-</v>
      </c>
      <c r="EQ63" s="118" t="str">
        <f t="shared" si="250"/>
        <v>-</v>
      </c>
      <c r="ER63" s="119">
        <f t="shared" si="251"/>
        <v>42.89</v>
      </c>
      <c r="ES63" s="120" t="str">
        <f t="shared" si="252"/>
        <v>-</v>
      </c>
      <c r="ET63" s="90">
        <v>2</v>
      </c>
      <c r="EU63" s="118" t="str">
        <f t="shared" si="253"/>
        <v>-</v>
      </c>
      <c r="EV63" s="119">
        <f t="shared" si="254"/>
        <v>2</v>
      </c>
      <c r="EW63" s="120" t="str">
        <f t="shared" si="255"/>
        <v>-</v>
      </c>
    </row>
    <row r="64" spans="1:153" ht="15.75" thickBot="1" x14ac:dyDescent="0.3">
      <c r="A64" s="41"/>
      <c r="B64" s="171" t="s">
        <v>500</v>
      </c>
      <c r="C64" s="171" t="s">
        <v>509</v>
      </c>
      <c r="D64" s="42">
        <f>VLOOKUP(B64,'BASE DE DATOS'!$B$3:$E$106,2,FALSE)</f>
        <v>32.770000000000003</v>
      </c>
      <c r="E64" s="42">
        <f>VLOOKUP(B64,'BASE DE DATOS'!$B$3:$E$106,4,FALSE)</f>
        <v>2.1700000000000017</v>
      </c>
      <c r="F64" s="42">
        <f>VLOOKUP(C64,'BASE DE DATOS'!$B$3:$E$106,2,FALSE)</f>
        <v>32.35</v>
      </c>
      <c r="G64" s="42">
        <f>VLOOKUP(C64,'BASE DE DATOS'!$B$3:$E$106,4,FALSE)</f>
        <v>2.0200000000000031</v>
      </c>
      <c r="H64" s="43">
        <f t="shared" si="135"/>
        <v>2.0950000000000024</v>
      </c>
      <c r="I64" s="171">
        <v>35.909999999999997</v>
      </c>
      <c r="J64" s="44">
        <f t="shared" si="132"/>
        <v>35.909999999999997</v>
      </c>
      <c r="K64" s="40">
        <f t="shared" si="133"/>
        <v>34.31</v>
      </c>
      <c r="L64" s="40">
        <f t="shared" si="134"/>
        <v>34.71</v>
      </c>
      <c r="M64" s="44">
        <f t="shared" si="124"/>
        <v>315</v>
      </c>
      <c r="N64" s="40">
        <f t="shared" si="125"/>
        <v>35.909999999999997</v>
      </c>
      <c r="O64" s="171" t="s">
        <v>121</v>
      </c>
      <c r="P64" s="19">
        <v>295.60000000000002</v>
      </c>
      <c r="Q64" s="171" t="s">
        <v>123</v>
      </c>
      <c r="R64" s="171" t="s">
        <v>133</v>
      </c>
      <c r="S64" s="171" t="s">
        <v>148</v>
      </c>
      <c r="T64" s="171" t="s">
        <v>149</v>
      </c>
      <c r="V64" s="51" t="str">
        <f t="shared" si="256"/>
        <v>-</v>
      </c>
      <c r="W64" s="52" t="str">
        <f t="shared" si="257"/>
        <v>-</v>
      </c>
      <c r="X64" s="52" t="str">
        <f t="shared" si="258"/>
        <v>-</v>
      </c>
      <c r="Y64" s="52" t="str">
        <f t="shared" si="259"/>
        <v>-</v>
      </c>
      <c r="Z64" s="52" t="str">
        <f t="shared" si="260"/>
        <v>-</v>
      </c>
      <c r="AA64" s="52" t="str">
        <f t="shared" si="261"/>
        <v>-</v>
      </c>
      <c r="AB64" s="52" t="str">
        <f t="shared" si="262"/>
        <v>-</v>
      </c>
      <c r="AC64" s="52" t="str">
        <f t="shared" si="263"/>
        <v>-</v>
      </c>
      <c r="AD64" s="52" t="str">
        <f t="shared" si="264"/>
        <v>-</v>
      </c>
      <c r="AE64" s="52" t="str">
        <f t="shared" si="265"/>
        <v>-</v>
      </c>
      <c r="AF64" s="52" t="str">
        <f t="shared" si="266"/>
        <v>-</v>
      </c>
      <c r="AG64" s="52" t="str">
        <f t="shared" si="267"/>
        <v>-</v>
      </c>
      <c r="AH64" s="52" t="str">
        <f t="shared" si="268"/>
        <v>-</v>
      </c>
      <c r="AI64" s="52" t="str">
        <f t="shared" si="269"/>
        <v>-</v>
      </c>
      <c r="AJ64" s="52" t="str">
        <f t="shared" si="270"/>
        <v>-</v>
      </c>
      <c r="AK64" s="52" t="str">
        <f t="shared" si="271"/>
        <v>-</v>
      </c>
      <c r="AL64" s="52" t="str">
        <f t="shared" si="272"/>
        <v>-</v>
      </c>
      <c r="AM64" s="53" t="str">
        <f t="shared" si="273"/>
        <v>-</v>
      </c>
      <c r="AN64" s="51" t="str">
        <f t="shared" si="274"/>
        <v>-</v>
      </c>
      <c r="AO64" s="52" t="str">
        <f t="shared" si="275"/>
        <v>-</v>
      </c>
      <c r="AP64" s="52" t="str">
        <f t="shared" si="276"/>
        <v>-</v>
      </c>
      <c r="AQ64" s="52" t="str">
        <f t="shared" si="277"/>
        <v>-</v>
      </c>
      <c r="AR64" s="52" t="str">
        <f t="shared" si="278"/>
        <v>-</v>
      </c>
      <c r="AS64" s="52" t="str">
        <f t="shared" si="279"/>
        <v>-</v>
      </c>
      <c r="AT64" s="52" t="str">
        <f t="shared" si="280"/>
        <v>-</v>
      </c>
      <c r="AU64" s="52" t="str">
        <f t="shared" si="281"/>
        <v>-</v>
      </c>
      <c r="AV64" s="52" t="str">
        <f t="shared" si="282"/>
        <v>-</v>
      </c>
      <c r="AW64" s="52" t="str">
        <f t="shared" si="283"/>
        <v>-</v>
      </c>
      <c r="AX64" s="52" t="str">
        <f t="shared" si="284"/>
        <v>-</v>
      </c>
      <c r="AY64" s="52" t="str">
        <f t="shared" si="285"/>
        <v>-</v>
      </c>
      <c r="AZ64" s="52" t="str">
        <f t="shared" si="286"/>
        <v>-</v>
      </c>
      <c r="BA64" s="52" t="str">
        <f t="shared" si="287"/>
        <v>-</v>
      </c>
      <c r="BB64" s="52" t="str">
        <f t="shared" si="288"/>
        <v>-</v>
      </c>
      <c r="BC64" s="52" t="str">
        <f t="shared" si="289"/>
        <v>-</v>
      </c>
      <c r="BD64" s="52" t="str">
        <f t="shared" si="290"/>
        <v>-</v>
      </c>
      <c r="BE64" s="53" t="str">
        <f t="shared" si="291"/>
        <v>-</v>
      </c>
      <c r="BF64" s="51" t="str">
        <f t="shared" si="292"/>
        <v>-</v>
      </c>
      <c r="BG64" s="52" t="str">
        <f t="shared" si="293"/>
        <v>-</v>
      </c>
      <c r="BH64" s="52" t="str">
        <f t="shared" si="294"/>
        <v>-</v>
      </c>
      <c r="BI64" s="52" t="str">
        <f t="shared" si="295"/>
        <v>-</v>
      </c>
      <c r="BJ64" s="52" t="str">
        <f t="shared" si="296"/>
        <v>-</v>
      </c>
      <c r="BK64" s="52" t="str">
        <f t="shared" si="297"/>
        <v>-</v>
      </c>
      <c r="BL64" s="52" t="str">
        <f t="shared" si="298"/>
        <v>-</v>
      </c>
      <c r="BM64" s="52" t="str">
        <f t="shared" si="299"/>
        <v>-</v>
      </c>
      <c r="BN64" s="52" t="str">
        <f t="shared" si="300"/>
        <v>-</v>
      </c>
      <c r="BO64" s="52" t="str">
        <f t="shared" si="301"/>
        <v>-</v>
      </c>
      <c r="BP64" s="52" t="str">
        <f t="shared" si="302"/>
        <v>-</v>
      </c>
      <c r="BQ64" s="52" t="str">
        <f t="shared" si="303"/>
        <v>-</v>
      </c>
      <c r="BR64" s="52" t="str">
        <f t="shared" si="304"/>
        <v>-</v>
      </c>
      <c r="BS64" s="52" t="str">
        <f t="shared" si="305"/>
        <v>-</v>
      </c>
      <c r="BT64" s="52" t="str">
        <f t="shared" si="306"/>
        <v>-</v>
      </c>
      <c r="BU64" s="52" t="str">
        <f t="shared" si="307"/>
        <v>-</v>
      </c>
      <c r="BV64" s="52" t="str">
        <f t="shared" si="308"/>
        <v>-</v>
      </c>
      <c r="BW64" s="53" t="str">
        <f t="shared" si="309"/>
        <v>-</v>
      </c>
      <c r="BX64" s="51" t="str">
        <f t="shared" si="310"/>
        <v>-</v>
      </c>
      <c r="BY64" s="52" t="str">
        <f t="shared" si="311"/>
        <v>-</v>
      </c>
      <c r="BZ64" s="52" t="str">
        <f t="shared" si="312"/>
        <v>-</v>
      </c>
      <c r="CA64" s="52" t="str">
        <f t="shared" si="313"/>
        <v>-</v>
      </c>
      <c r="CB64" s="52" t="str">
        <f t="shared" si="314"/>
        <v>-</v>
      </c>
      <c r="CC64" s="52" t="str">
        <f t="shared" si="315"/>
        <v>-</v>
      </c>
      <c r="CD64" s="52" t="str">
        <f t="shared" si="316"/>
        <v>-</v>
      </c>
      <c r="CE64" s="52" t="str">
        <f t="shared" si="317"/>
        <v>-</v>
      </c>
      <c r="CF64" s="52" t="str">
        <f t="shared" si="318"/>
        <v>-</v>
      </c>
      <c r="CG64" s="52">
        <f t="shared" si="319"/>
        <v>34.31</v>
      </c>
      <c r="CH64" s="52" t="str">
        <f t="shared" si="320"/>
        <v>-</v>
      </c>
      <c r="CI64" s="52" t="str">
        <f t="shared" si="321"/>
        <v>-</v>
      </c>
      <c r="CJ64" s="52" t="str">
        <f t="shared" si="322"/>
        <v>-</v>
      </c>
      <c r="CK64" s="52" t="str">
        <f t="shared" si="323"/>
        <v>-</v>
      </c>
      <c r="CL64" s="52" t="str">
        <f t="shared" si="324"/>
        <v>-</v>
      </c>
      <c r="CM64" s="52" t="str">
        <f t="shared" si="325"/>
        <v>-</v>
      </c>
      <c r="CN64" s="52" t="str">
        <f t="shared" si="326"/>
        <v>-</v>
      </c>
      <c r="CO64" s="53" t="str">
        <f t="shared" si="327"/>
        <v>-</v>
      </c>
      <c r="CQ64" s="305" t="str">
        <f t="shared" si="126"/>
        <v>-</v>
      </c>
      <c r="CR64" s="305" t="str">
        <f t="shared" si="127"/>
        <v>-</v>
      </c>
      <c r="CS64" s="305" t="str">
        <f t="shared" si="128"/>
        <v>-</v>
      </c>
      <c r="CT64" s="305">
        <f t="shared" si="129"/>
        <v>35.909999999999997</v>
      </c>
      <c r="CU64" s="305" t="str">
        <f t="shared" si="130"/>
        <v>-</v>
      </c>
      <c r="CV64" s="305" t="str">
        <f t="shared" si="131"/>
        <v>-</v>
      </c>
      <c r="CX64" s="51" t="str">
        <f t="shared" si="208"/>
        <v>-</v>
      </c>
      <c r="CY64" s="52" t="str">
        <f t="shared" si="209"/>
        <v>-</v>
      </c>
      <c r="CZ64" s="53" t="str">
        <f t="shared" si="210"/>
        <v>-</v>
      </c>
      <c r="DA64" s="51" t="str">
        <f t="shared" si="211"/>
        <v>-</v>
      </c>
      <c r="DB64" s="52">
        <f t="shared" si="212"/>
        <v>34.71</v>
      </c>
      <c r="DC64" s="53" t="str">
        <f t="shared" si="213"/>
        <v>-</v>
      </c>
      <c r="DD64" s="57"/>
      <c r="DE64" s="106" t="str">
        <f t="shared" si="214"/>
        <v>-</v>
      </c>
      <c r="DF64" s="107" t="str">
        <f t="shared" si="215"/>
        <v>-</v>
      </c>
      <c r="DG64" s="107" t="str">
        <f t="shared" si="216"/>
        <v>-</v>
      </c>
      <c r="DH64" s="107" t="str">
        <f t="shared" si="217"/>
        <v>-</v>
      </c>
      <c r="DI64" s="107" t="str">
        <f t="shared" si="218"/>
        <v>-</v>
      </c>
      <c r="DJ64" s="107" t="str">
        <f t="shared" si="219"/>
        <v>-</v>
      </c>
      <c r="DK64" s="107" t="str">
        <f t="shared" si="220"/>
        <v>-</v>
      </c>
      <c r="DL64" s="107" t="str">
        <f t="shared" si="221"/>
        <v>-</v>
      </c>
      <c r="DM64" s="108" t="str">
        <f t="shared" si="222"/>
        <v>-</v>
      </c>
      <c r="DO64" s="106" t="str">
        <f t="shared" si="223"/>
        <v>-</v>
      </c>
      <c r="DP64" s="107" t="str">
        <f t="shared" si="224"/>
        <v>-</v>
      </c>
      <c r="DQ64" s="107" t="str">
        <f t="shared" si="225"/>
        <v>-</v>
      </c>
      <c r="DR64" s="107" t="str">
        <f t="shared" si="226"/>
        <v>-</v>
      </c>
      <c r="DS64" s="107" t="str">
        <f t="shared" si="227"/>
        <v>-</v>
      </c>
      <c r="DT64" s="107" t="str">
        <f t="shared" si="228"/>
        <v>-</v>
      </c>
      <c r="DU64" s="107" t="str">
        <f t="shared" si="229"/>
        <v>-</v>
      </c>
      <c r="DV64" s="107" t="str">
        <f t="shared" si="230"/>
        <v>-</v>
      </c>
      <c r="DW64" s="108" t="str">
        <f t="shared" si="231"/>
        <v>-</v>
      </c>
      <c r="DX64" s="109" t="str">
        <f t="shared" si="232"/>
        <v>-</v>
      </c>
      <c r="DY64" s="110" t="str">
        <f t="shared" si="233"/>
        <v>-</v>
      </c>
      <c r="DZ64" s="110" t="str">
        <f t="shared" si="234"/>
        <v>-</v>
      </c>
      <c r="EA64" s="110" t="str">
        <f t="shared" si="235"/>
        <v>-</v>
      </c>
      <c r="EB64" s="110" t="str">
        <f t="shared" si="236"/>
        <v>-</v>
      </c>
      <c r="EC64" s="110" t="str">
        <f t="shared" si="237"/>
        <v>-</v>
      </c>
      <c r="ED64" s="110" t="str">
        <f t="shared" si="238"/>
        <v>-</v>
      </c>
      <c r="EE64" s="110" t="str">
        <f t="shared" si="239"/>
        <v>-</v>
      </c>
      <c r="EF64" s="111">
        <f t="shared" si="240"/>
        <v>35.909999999999997</v>
      </c>
      <c r="EG64" s="109" t="str">
        <f t="shared" si="241"/>
        <v>-</v>
      </c>
      <c r="EH64" s="110" t="str">
        <f t="shared" si="242"/>
        <v>-</v>
      </c>
      <c r="EI64" s="110" t="str">
        <f t="shared" si="243"/>
        <v>-</v>
      </c>
      <c r="EJ64" s="110" t="str">
        <f t="shared" si="244"/>
        <v>-</v>
      </c>
      <c r="EK64" s="110" t="str">
        <f t="shared" si="245"/>
        <v>-</v>
      </c>
      <c r="EL64" s="110" t="str">
        <f t="shared" si="246"/>
        <v>-</v>
      </c>
      <c r="EM64" s="110" t="str">
        <f t="shared" si="247"/>
        <v>-</v>
      </c>
      <c r="EN64" s="110" t="str">
        <f t="shared" si="248"/>
        <v>-</v>
      </c>
      <c r="EO64" s="111" t="str">
        <f t="shared" si="249"/>
        <v>-</v>
      </c>
      <c r="EQ64" s="118" t="str">
        <f t="shared" si="250"/>
        <v>-</v>
      </c>
      <c r="ER64" s="119" t="str">
        <f t="shared" si="251"/>
        <v>-</v>
      </c>
      <c r="ES64" s="120">
        <f t="shared" si="252"/>
        <v>34.71</v>
      </c>
      <c r="ET64" s="90">
        <v>2</v>
      </c>
      <c r="EU64" s="118" t="str">
        <f t="shared" si="253"/>
        <v>-</v>
      </c>
      <c r="EV64" s="119" t="str">
        <f t="shared" si="254"/>
        <v>-</v>
      </c>
      <c r="EW64" s="120">
        <f t="shared" si="255"/>
        <v>2</v>
      </c>
    </row>
    <row r="65" spans="1:153" ht="15.75" thickBot="1" x14ac:dyDescent="0.3">
      <c r="A65" s="41"/>
      <c r="B65" s="171" t="s">
        <v>501</v>
      </c>
      <c r="C65" s="171" t="s">
        <v>502</v>
      </c>
      <c r="D65" s="42">
        <f>VLOOKUP(B65,'BASE DE DATOS'!$B$3:$E$106,2,FALSE)</f>
        <v>32.979999999999997</v>
      </c>
      <c r="E65" s="42">
        <f>VLOOKUP(B65,'BASE DE DATOS'!$B$3:$E$106,4,FALSE)</f>
        <v>1.639999999999997</v>
      </c>
      <c r="F65" s="42">
        <f>VLOOKUP(C65,'BASE DE DATOS'!$B$3:$E$106,2,FALSE)</f>
        <v>32.85</v>
      </c>
      <c r="G65" s="42">
        <f>VLOOKUP(C65,'BASE DE DATOS'!$B$3:$E$106,4,FALSE)</f>
        <v>1.6600000000000001</v>
      </c>
      <c r="H65" s="43">
        <f t="shared" si="135"/>
        <v>1.6499999999999986</v>
      </c>
      <c r="I65" s="171">
        <v>47.43</v>
      </c>
      <c r="J65" s="44">
        <f t="shared" si="132"/>
        <v>47.43</v>
      </c>
      <c r="K65" s="40">
        <f t="shared" si="133"/>
        <v>45.83</v>
      </c>
      <c r="L65" s="40">
        <f t="shared" si="134"/>
        <v>46.23</v>
      </c>
      <c r="M65" s="44">
        <f t="shared" si="124"/>
        <v>200</v>
      </c>
      <c r="N65" s="40">
        <f t="shared" si="125"/>
        <v>47.43</v>
      </c>
      <c r="O65" s="171" t="s">
        <v>120</v>
      </c>
      <c r="P65" s="19">
        <v>187.6</v>
      </c>
      <c r="Q65" s="171" t="s">
        <v>122</v>
      </c>
      <c r="R65" s="171" t="s">
        <v>133</v>
      </c>
      <c r="S65" s="171" t="s">
        <v>148</v>
      </c>
      <c r="T65" s="171" t="s">
        <v>149</v>
      </c>
      <c r="V65" s="51" t="str">
        <f t="shared" si="256"/>
        <v>-</v>
      </c>
      <c r="W65" s="52" t="str">
        <f t="shared" si="257"/>
        <v>-</v>
      </c>
      <c r="X65" s="52" t="str">
        <f t="shared" si="258"/>
        <v>-</v>
      </c>
      <c r="Y65" s="52" t="str">
        <f t="shared" si="259"/>
        <v>-</v>
      </c>
      <c r="Z65" s="52" t="str">
        <f t="shared" si="260"/>
        <v>-</v>
      </c>
      <c r="AA65" s="52" t="str">
        <f t="shared" si="261"/>
        <v>-</v>
      </c>
      <c r="AB65" s="52" t="str">
        <f t="shared" si="262"/>
        <v>-</v>
      </c>
      <c r="AC65" s="52" t="str">
        <f t="shared" si="263"/>
        <v>-</v>
      </c>
      <c r="AD65" s="52" t="str">
        <f t="shared" si="264"/>
        <v>-</v>
      </c>
      <c r="AE65" s="52" t="str">
        <f t="shared" si="265"/>
        <v>-</v>
      </c>
      <c r="AF65" s="52" t="str">
        <f t="shared" si="266"/>
        <v>-</v>
      </c>
      <c r="AG65" s="52" t="str">
        <f t="shared" si="267"/>
        <v>-</v>
      </c>
      <c r="AH65" s="52" t="str">
        <f t="shared" si="268"/>
        <v>-</v>
      </c>
      <c r="AI65" s="52" t="str">
        <f t="shared" si="269"/>
        <v>-</v>
      </c>
      <c r="AJ65" s="52" t="str">
        <f t="shared" si="270"/>
        <v>-</v>
      </c>
      <c r="AK65" s="52" t="str">
        <f t="shared" si="271"/>
        <v>-</v>
      </c>
      <c r="AL65" s="52" t="str">
        <f t="shared" si="272"/>
        <v>-</v>
      </c>
      <c r="AM65" s="53" t="str">
        <f t="shared" si="273"/>
        <v>-</v>
      </c>
      <c r="AN65" s="51" t="str">
        <f t="shared" si="274"/>
        <v>-</v>
      </c>
      <c r="AO65" s="52" t="str">
        <f t="shared" si="275"/>
        <v>-</v>
      </c>
      <c r="AP65" s="52" t="str">
        <f t="shared" si="276"/>
        <v>-</v>
      </c>
      <c r="AQ65" s="52" t="str">
        <f t="shared" si="277"/>
        <v>-</v>
      </c>
      <c r="AR65" s="52" t="str">
        <f t="shared" si="278"/>
        <v>-</v>
      </c>
      <c r="AS65" s="52" t="str">
        <f t="shared" si="279"/>
        <v>-</v>
      </c>
      <c r="AT65" s="52" t="str">
        <f t="shared" si="280"/>
        <v>-</v>
      </c>
      <c r="AU65" s="52" t="str">
        <f t="shared" si="281"/>
        <v>-</v>
      </c>
      <c r="AV65" s="52" t="str">
        <f t="shared" si="282"/>
        <v>-</v>
      </c>
      <c r="AW65" s="52" t="str">
        <f t="shared" si="283"/>
        <v>-</v>
      </c>
      <c r="AX65" s="52" t="str">
        <f t="shared" si="284"/>
        <v>-</v>
      </c>
      <c r="AY65" s="52" t="str">
        <f t="shared" si="285"/>
        <v>-</v>
      </c>
      <c r="AZ65" s="52" t="str">
        <f t="shared" si="286"/>
        <v>-</v>
      </c>
      <c r="BA65" s="52" t="str">
        <f t="shared" si="287"/>
        <v>-</v>
      </c>
      <c r="BB65" s="52" t="str">
        <f t="shared" si="288"/>
        <v>-</v>
      </c>
      <c r="BC65" s="52" t="str">
        <f t="shared" si="289"/>
        <v>-</v>
      </c>
      <c r="BD65" s="52" t="str">
        <f t="shared" si="290"/>
        <v>-</v>
      </c>
      <c r="BE65" s="53" t="str">
        <f t="shared" si="291"/>
        <v>-</v>
      </c>
      <c r="BF65" s="51" t="str">
        <f t="shared" si="292"/>
        <v>-</v>
      </c>
      <c r="BG65" s="52" t="str">
        <f t="shared" si="293"/>
        <v>-</v>
      </c>
      <c r="BH65" s="52" t="str">
        <f t="shared" si="294"/>
        <v>-</v>
      </c>
      <c r="BI65" s="52" t="str">
        <f t="shared" si="295"/>
        <v>-</v>
      </c>
      <c r="BJ65" s="52">
        <f t="shared" si="296"/>
        <v>45.83</v>
      </c>
      <c r="BK65" s="52" t="str">
        <f t="shared" si="297"/>
        <v>-</v>
      </c>
      <c r="BL65" s="52" t="str">
        <f t="shared" si="298"/>
        <v>-</v>
      </c>
      <c r="BM65" s="52" t="str">
        <f t="shared" si="299"/>
        <v>-</v>
      </c>
      <c r="BN65" s="52" t="str">
        <f t="shared" si="300"/>
        <v>-</v>
      </c>
      <c r="BO65" s="52" t="str">
        <f t="shared" si="301"/>
        <v>-</v>
      </c>
      <c r="BP65" s="52" t="str">
        <f t="shared" si="302"/>
        <v>-</v>
      </c>
      <c r="BQ65" s="52" t="str">
        <f t="shared" si="303"/>
        <v>-</v>
      </c>
      <c r="BR65" s="52" t="str">
        <f t="shared" si="304"/>
        <v>-</v>
      </c>
      <c r="BS65" s="52" t="str">
        <f t="shared" si="305"/>
        <v>-</v>
      </c>
      <c r="BT65" s="52" t="str">
        <f t="shared" si="306"/>
        <v>-</v>
      </c>
      <c r="BU65" s="52" t="str">
        <f t="shared" si="307"/>
        <v>-</v>
      </c>
      <c r="BV65" s="52" t="str">
        <f t="shared" si="308"/>
        <v>-</v>
      </c>
      <c r="BW65" s="53" t="str">
        <f t="shared" si="309"/>
        <v>-</v>
      </c>
      <c r="BX65" s="51" t="str">
        <f t="shared" si="310"/>
        <v>-</v>
      </c>
      <c r="BY65" s="52" t="str">
        <f t="shared" si="311"/>
        <v>-</v>
      </c>
      <c r="BZ65" s="52" t="str">
        <f t="shared" si="312"/>
        <v>-</v>
      </c>
      <c r="CA65" s="52" t="str">
        <f t="shared" si="313"/>
        <v>-</v>
      </c>
      <c r="CB65" s="52" t="str">
        <f t="shared" si="314"/>
        <v>-</v>
      </c>
      <c r="CC65" s="52" t="str">
        <f t="shared" si="315"/>
        <v>-</v>
      </c>
      <c r="CD65" s="52" t="str">
        <f t="shared" si="316"/>
        <v>-</v>
      </c>
      <c r="CE65" s="52" t="str">
        <f t="shared" si="317"/>
        <v>-</v>
      </c>
      <c r="CF65" s="52" t="str">
        <f t="shared" si="318"/>
        <v>-</v>
      </c>
      <c r="CG65" s="52" t="str">
        <f t="shared" si="319"/>
        <v>-</v>
      </c>
      <c r="CH65" s="52" t="str">
        <f t="shared" si="320"/>
        <v>-</v>
      </c>
      <c r="CI65" s="52" t="str">
        <f t="shared" si="321"/>
        <v>-</v>
      </c>
      <c r="CJ65" s="52" t="str">
        <f t="shared" si="322"/>
        <v>-</v>
      </c>
      <c r="CK65" s="52" t="str">
        <f t="shared" si="323"/>
        <v>-</v>
      </c>
      <c r="CL65" s="52" t="str">
        <f t="shared" si="324"/>
        <v>-</v>
      </c>
      <c r="CM65" s="52" t="str">
        <f t="shared" si="325"/>
        <v>-</v>
      </c>
      <c r="CN65" s="52" t="str">
        <f t="shared" si="326"/>
        <v>-</v>
      </c>
      <c r="CO65" s="53" t="str">
        <f t="shared" si="327"/>
        <v>-</v>
      </c>
      <c r="CQ65" s="305" t="str">
        <f t="shared" si="126"/>
        <v>-</v>
      </c>
      <c r="CR65" s="305" t="str">
        <f t="shared" si="127"/>
        <v>-</v>
      </c>
      <c r="CS65" s="305" t="str">
        <f t="shared" si="128"/>
        <v>-</v>
      </c>
      <c r="CT65" s="305">
        <f t="shared" si="129"/>
        <v>47.43</v>
      </c>
      <c r="CU65" s="305" t="str">
        <f t="shared" si="130"/>
        <v>-</v>
      </c>
      <c r="CV65" s="305" t="str">
        <f t="shared" si="131"/>
        <v>-</v>
      </c>
      <c r="CX65" s="51">
        <f t="shared" si="208"/>
        <v>46.23</v>
      </c>
      <c r="CY65" s="52" t="str">
        <f t="shared" si="209"/>
        <v>-</v>
      </c>
      <c r="CZ65" s="53" t="str">
        <f t="shared" si="210"/>
        <v>-</v>
      </c>
      <c r="DA65" s="51" t="str">
        <f t="shared" si="211"/>
        <v>-</v>
      </c>
      <c r="DB65" s="52" t="str">
        <f t="shared" si="212"/>
        <v>-</v>
      </c>
      <c r="DC65" s="53" t="str">
        <f t="shared" si="213"/>
        <v>-</v>
      </c>
      <c r="DD65" s="57"/>
      <c r="DE65" s="106" t="str">
        <f t="shared" si="214"/>
        <v>-</v>
      </c>
      <c r="DF65" s="107" t="str">
        <f t="shared" si="215"/>
        <v>-</v>
      </c>
      <c r="DG65" s="107" t="str">
        <f t="shared" si="216"/>
        <v>-</v>
      </c>
      <c r="DH65" s="107">
        <f t="shared" si="217"/>
        <v>46.23</v>
      </c>
      <c r="DI65" s="107" t="str">
        <f t="shared" si="218"/>
        <v>-</v>
      </c>
      <c r="DJ65" s="107" t="str">
        <f t="shared" si="219"/>
        <v>-</v>
      </c>
      <c r="DK65" s="107" t="str">
        <f t="shared" si="220"/>
        <v>-</v>
      </c>
      <c r="DL65" s="107" t="str">
        <f t="shared" si="221"/>
        <v>-</v>
      </c>
      <c r="DM65" s="108" t="str">
        <f t="shared" si="222"/>
        <v>-</v>
      </c>
      <c r="DO65" s="106" t="str">
        <f t="shared" si="223"/>
        <v>-</v>
      </c>
      <c r="DP65" s="107" t="str">
        <f t="shared" si="224"/>
        <v>-</v>
      </c>
      <c r="DQ65" s="107" t="str">
        <f t="shared" si="225"/>
        <v>-</v>
      </c>
      <c r="DR65" s="107">
        <f t="shared" si="226"/>
        <v>46.23</v>
      </c>
      <c r="DS65" s="107" t="str">
        <f t="shared" si="227"/>
        <v>-</v>
      </c>
      <c r="DT65" s="107" t="str">
        <f t="shared" si="228"/>
        <v>-</v>
      </c>
      <c r="DU65" s="107" t="str">
        <f t="shared" si="229"/>
        <v>-</v>
      </c>
      <c r="DV65" s="107" t="str">
        <f t="shared" si="230"/>
        <v>-</v>
      </c>
      <c r="DW65" s="108" t="str">
        <f t="shared" si="231"/>
        <v>-</v>
      </c>
      <c r="DX65" s="109" t="str">
        <f t="shared" si="232"/>
        <v>-</v>
      </c>
      <c r="DY65" s="110" t="str">
        <f t="shared" si="233"/>
        <v>-</v>
      </c>
      <c r="DZ65" s="110" t="str">
        <f t="shared" si="234"/>
        <v>-</v>
      </c>
      <c r="EA65" s="110" t="str">
        <f t="shared" si="235"/>
        <v>-</v>
      </c>
      <c r="EB65" s="110" t="str">
        <f t="shared" si="236"/>
        <v>-</v>
      </c>
      <c r="EC65" s="110" t="str">
        <f t="shared" si="237"/>
        <v>-</v>
      </c>
      <c r="ED65" s="110" t="str">
        <f t="shared" si="238"/>
        <v>-</v>
      </c>
      <c r="EE65" s="110" t="str">
        <f t="shared" si="239"/>
        <v>-</v>
      </c>
      <c r="EF65" s="111" t="str">
        <f t="shared" si="240"/>
        <v>-</v>
      </c>
      <c r="EG65" s="109" t="str">
        <f t="shared" si="241"/>
        <v>-</v>
      </c>
      <c r="EH65" s="110" t="str">
        <f t="shared" si="242"/>
        <v>-</v>
      </c>
      <c r="EI65" s="110" t="str">
        <f t="shared" si="243"/>
        <v>-</v>
      </c>
      <c r="EJ65" s="110" t="str">
        <f t="shared" si="244"/>
        <v>-</v>
      </c>
      <c r="EK65" s="110" t="str">
        <f t="shared" si="245"/>
        <v>-</v>
      </c>
      <c r="EL65" s="110" t="str">
        <f t="shared" si="246"/>
        <v>-</v>
      </c>
      <c r="EM65" s="110" t="str">
        <f t="shared" si="247"/>
        <v>-</v>
      </c>
      <c r="EN65" s="110" t="str">
        <f t="shared" si="248"/>
        <v>-</v>
      </c>
      <c r="EO65" s="111" t="str">
        <f t="shared" si="249"/>
        <v>-</v>
      </c>
      <c r="EQ65" s="118">
        <f t="shared" si="250"/>
        <v>46.23</v>
      </c>
      <c r="ER65" s="119" t="str">
        <f t="shared" si="251"/>
        <v>-</v>
      </c>
      <c r="ES65" s="120" t="str">
        <f t="shared" si="252"/>
        <v>-</v>
      </c>
      <c r="ET65" s="90">
        <v>2</v>
      </c>
      <c r="EU65" s="118">
        <f t="shared" si="253"/>
        <v>2</v>
      </c>
      <c r="EV65" s="119" t="str">
        <f t="shared" si="254"/>
        <v>-</v>
      </c>
      <c r="EW65" s="120" t="str">
        <f t="shared" si="255"/>
        <v>-</v>
      </c>
    </row>
    <row r="66" spans="1:153" ht="15.75" thickBot="1" x14ac:dyDescent="0.3">
      <c r="A66" s="41"/>
      <c r="B66" s="171" t="s">
        <v>502</v>
      </c>
      <c r="C66" s="171" t="s">
        <v>503</v>
      </c>
      <c r="D66" s="42">
        <f>VLOOKUP(B66,'BASE DE DATOS'!$B$3:$E$106,2,FALSE)</f>
        <v>32.85</v>
      </c>
      <c r="E66" s="42">
        <f>VLOOKUP(B66,'BASE DE DATOS'!$B$3:$E$106,4,FALSE)</f>
        <v>1.6600000000000001</v>
      </c>
      <c r="F66" s="42">
        <f>VLOOKUP(C66,'BASE DE DATOS'!$B$3:$E$106,2,FALSE)</f>
        <v>32.75</v>
      </c>
      <c r="G66" s="42">
        <f>VLOOKUP(C66,'BASE DE DATOS'!$B$3:$E$106,4,FALSE)</f>
        <v>1.6799999999999997</v>
      </c>
      <c r="H66" s="43">
        <f t="shared" si="135"/>
        <v>1.67</v>
      </c>
      <c r="I66" s="171">
        <v>38.56</v>
      </c>
      <c r="J66" s="40">
        <f t="shared" si="132"/>
        <v>38.56</v>
      </c>
      <c r="K66" s="40">
        <f t="shared" si="133"/>
        <v>36.96</v>
      </c>
      <c r="L66" s="40">
        <f t="shared" si="134"/>
        <v>37.36</v>
      </c>
      <c r="M66" s="40">
        <f t="shared" si="124"/>
        <v>200</v>
      </c>
      <c r="N66" s="40">
        <f t="shared" si="125"/>
        <v>38.56</v>
      </c>
      <c r="O66" s="171" t="s">
        <v>120</v>
      </c>
      <c r="P66" s="19">
        <v>187.6</v>
      </c>
      <c r="Q66" s="171" t="s">
        <v>122</v>
      </c>
      <c r="R66" s="171" t="s">
        <v>133</v>
      </c>
      <c r="S66" s="171" t="s">
        <v>389</v>
      </c>
      <c r="T66" s="171" t="s">
        <v>149</v>
      </c>
      <c r="V66" s="51" t="str">
        <f t="shared" si="256"/>
        <v>-</v>
      </c>
      <c r="W66" s="52" t="str">
        <f t="shared" si="257"/>
        <v>-</v>
      </c>
      <c r="X66" s="52" t="str">
        <f t="shared" si="258"/>
        <v>-</v>
      </c>
      <c r="Y66" s="52" t="str">
        <f t="shared" si="259"/>
        <v>-</v>
      </c>
      <c r="Z66" s="52" t="str">
        <f t="shared" si="260"/>
        <v>-</v>
      </c>
      <c r="AA66" s="52" t="str">
        <f t="shared" si="261"/>
        <v>-</v>
      </c>
      <c r="AB66" s="52" t="str">
        <f t="shared" si="262"/>
        <v>-</v>
      </c>
      <c r="AC66" s="52" t="str">
        <f t="shared" si="263"/>
        <v>-</v>
      </c>
      <c r="AD66" s="52" t="str">
        <f t="shared" si="264"/>
        <v>-</v>
      </c>
      <c r="AE66" s="52" t="str">
        <f t="shared" si="265"/>
        <v>-</v>
      </c>
      <c r="AF66" s="52" t="str">
        <f t="shared" si="266"/>
        <v>-</v>
      </c>
      <c r="AG66" s="52" t="str">
        <f t="shared" si="267"/>
        <v>-</v>
      </c>
      <c r="AH66" s="52" t="str">
        <f t="shared" si="268"/>
        <v>-</v>
      </c>
      <c r="AI66" s="52" t="str">
        <f t="shared" si="269"/>
        <v>-</v>
      </c>
      <c r="AJ66" s="52" t="str">
        <f t="shared" si="270"/>
        <v>-</v>
      </c>
      <c r="AK66" s="52" t="str">
        <f t="shared" si="271"/>
        <v>-</v>
      </c>
      <c r="AL66" s="52" t="str">
        <f t="shared" si="272"/>
        <v>-</v>
      </c>
      <c r="AM66" s="53" t="str">
        <f t="shared" si="273"/>
        <v>-</v>
      </c>
      <c r="AN66" s="51" t="str">
        <f t="shared" si="274"/>
        <v>-</v>
      </c>
      <c r="AO66" s="52" t="str">
        <f t="shared" si="275"/>
        <v>-</v>
      </c>
      <c r="AP66" s="52" t="str">
        <f t="shared" si="276"/>
        <v>-</v>
      </c>
      <c r="AQ66" s="52" t="str">
        <f t="shared" si="277"/>
        <v>-</v>
      </c>
      <c r="AR66" s="52" t="str">
        <f t="shared" si="278"/>
        <v>-</v>
      </c>
      <c r="AS66" s="52" t="str">
        <f t="shared" si="279"/>
        <v>-</v>
      </c>
      <c r="AT66" s="52" t="str">
        <f t="shared" si="280"/>
        <v>-</v>
      </c>
      <c r="AU66" s="52" t="str">
        <f t="shared" si="281"/>
        <v>-</v>
      </c>
      <c r="AV66" s="52" t="str">
        <f t="shared" si="282"/>
        <v>-</v>
      </c>
      <c r="AW66" s="52" t="str">
        <f t="shared" si="283"/>
        <v>-</v>
      </c>
      <c r="AX66" s="52" t="str">
        <f t="shared" si="284"/>
        <v>-</v>
      </c>
      <c r="AY66" s="52" t="str">
        <f t="shared" si="285"/>
        <v>-</v>
      </c>
      <c r="AZ66" s="52" t="str">
        <f t="shared" si="286"/>
        <v>-</v>
      </c>
      <c r="BA66" s="52" t="str">
        <f t="shared" si="287"/>
        <v>-</v>
      </c>
      <c r="BB66" s="52" t="str">
        <f t="shared" si="288"/>
        <v>-</v>
      </c>
      <c r="BC66" s="52" t="str">
        <f t="shared" si="289"/>
        <v>-</v>
      </c>
      <c r="BD66" s="52" t="str">
        <f t="shared" si="290"/>
        <v>-</v>
      </c>
      <c r="BE66" s="53" t="str">
        <f t="shared" si="291"/>
        <v>-</v>
      </c>
      <c r="BF66" s="51" t="str">
        <f t="shared" si="292"/>
        <v>-</v>
      </c>
      <c r="BG66" s="52" t="str">
        <f t="shared" si="293"/>
        <v>-</v>
      </c>
      <c r="BH66" s="52" t="str">
        <f t="shared" si="294"/>
        <v>-</v>
      </c>
      <c r="BI66" s="52" t="str">
        <f t="shared" si="295"/>
        <v>-</v>
      </c>
      <c r="BJ66" s="52">
        <f t="shared" si="296"/>
        <v>36.96</v>
      </c>
      <c r="BK66" s="52" t="str">
        <f t="shared" si="297"/>
        <v>-</v>
      </c>
      <c r="BL66" s="52" t="str">
        <f t="shared" si="298"/>
        <v>-</v>
      </c>
      <c r="BM66" s="52" t="str">
        <f t="shared" si="299"/>
        <v>-</v>
      </c>
      <c r="BN66" s="52" t="str">
        <f t="shared" si="300"/>
        <v>-</v>
      </c>
      <c r="BO66" s="52" t="str">
        <f t="shared" si="301"/>
        <v>-</v>
      </c>
      <c r="BP66" s="52" t="str">
        <f t="shared" si="302"/>
        <v>-</v>
      </c>
      <c r="BQ66" s="52" t="str">
        <f t="shared" si="303"/>
        <v>-</v>
      </c>
      <c r="BR66" s="52" t="str">
        <f t="shared" si="304"/>
        <v>-</v>
      </c>
      <c r="BS66" s="52" t="str">
        <f t="shared" si="305"/>
        <v>-</v>
      </c>
      <c r="BT66" s="52" t="str">
        <f t="shared" si="306"/>
        <v>-</v>
      </c>
      <c r="BU66" s="52" t="str">
        <f t="shared" si="307"/>
        <v>-</v>
      </c>
      <c r="BV66" s="52" t="str">
        <f t="shared" si="308"/>
        <v>-</v>
      </c>
      <c r="BW66" s="53" t="str">
        <f t="shared" si="309"/>
        <v>-</v>
      </c>
      <c r="BX66" s="51" t="str">
        <f t="shared" si="310"/>
        <v>-</v>
      </c>
      <c r="BY66" s="52" t="str">
        <f t="shared" si="311"/>
        <v>-</v>
      </c>
      <c r="BZ66" s="52" t="str">
        <f t="shared" si="312"/>
        <v>-</v>
      </c>
      <c r="CA66" s="52" t="str">
        <f t="shared" si="313"/>
        <v>-</v>
      </c>
      <c r="CB66" s="52" t="str">
        <f t="shared" si="314"/>
        <v>-</v>
      </c>
      <c r="CC66" s="52" t="str">
        <f t="shared" si="315"/>
        <v>-</v>
      </c>
      <c r="CD66" s="52" t="str">
        <f t="shared" si="316"/>
        <v>-</v>
      </c>
      <c r="CE66" s="52" t="str">
        <f t="shared" si="317"/>
        <v>-</v>
      </c>
      <c r="CF66" s="52" t="str">
        <f t="shared" si="318"/>
        <v>-</v>
      </c>
      <c r="CG66" s="52" t="str">
        <f t="shared" si="319"/>
        <v>-</v>
      </c>
      <c r="CH66" s="52" t="str">
        <f t="shared" si="320"/>
        <v>-</v>
      </c>
      <c r="CI66" s="52" t="str">
        <f t="shared" si="321"/>
        <v>-</v>
      </c>
      <c r="CJ66" s="52" t="str">
        <f t="shared" si="322"/>
        <v>-</v>
      </c>
      <c r="CK66" s="52" t="str">
        <f t="shared" si="323"/>
        <v>-</v>
      </c>
      <c r="CL66" s="52" t="str">
        <f t="shared" si="324"/>
        <v>-</v>
      </c>
      <c r="CM66" s="52" t="str">
        <f t="shared" si="325"/>
        <v>-</v>
      </c>
      <c r="CN66" s="52" t="str">
        <f t="shared" si="326"/>
        <v>-</v>
      </c>
      <c r="CO66" s="53" t="str">
        <f t="shared" si="327"/>
        <v>-</v>
      </c>
      <c r="CQ66" s="305" t="str">
        <f t="shared" si="126"/>
        <v>-</v>
      </c>
      <c r="CR66" s="305" t="str">
        <f t="shared" si="127"/>
        <v>-</v>
      </c>
      <c r="CS66" s="305" t="str">
        <f t="shared" si="128"/>
        <v>-</v>
      </c>
      <c r="CT66" s="305" t="str">
        <f t="shared" si="129"/>
        <v>-</v>
      </c>
      <c r="CU66" s="305">
        <f t="shared" si="130"/>
        <v>38.56</v>
      </c>
      <c r="CV66" s="305" t="str">
        <f t="shared" si="131"/>
        <v>-</v>
      </c>
      <c r="CX66" s="51">
        <f t="shared" si="208"/>
        <v>37.36</v>
      </c>
      <c r="CY66" s="52" t="str">
        <f t="shared" si="209"/>
        <v>-</v>
      </c>
      <c r="CZ66" s="53" t="str">
        <f t="shared" si="210"/>
        <v>-</v>
      </c>
      <c r="DA66" s="51" t="str">
        <f t="shared" si="211"/>
        <v>-</v>
      </c>
      <c r="DB66" s="52" t="str">
        <f t="shared" si="212"/>
        <v>-</v>
      </c>
      <c r="DC66" s="53" t="str">
        <f t="shared" si="213"/>
        <v>-</v>
      </c>
      <c r="DD66" s="57"/>
      <c r="DE66" s="106" t="str">
        <f t="shared" si="214"/>
        <v>-</v>
      </c>
      <c r="DF66" s="107" t="str">
        <f t="shared" si="215"/>
        <v>-</v>
      </c>
      <c r="DG66" s="107" t="str">
        <f t="shared" si="216"/>
        <v>-</v>
      </c>
      <c r="DH66" s="107">
        <f t="shared" si="217"/>
        <v>37.36</v>
      </c>
      <c r="DI66" s="107" t="str">
        <f t="shared" si="218"/>
        <v>-</v>
      </c>
      <c r="DJ66" s="107" t="str">
        <f t="shared" si="219"/>
        <v>-</v>
      </c>
      <c r="DK66" s="107" t="str">
        <f t="shared" si="220"/>
        <v>-</v>
      </c>
      <c r="DL66" s="107" t="str">
        <f t="shared" si="221"/>
        <v>-</v>
      </c>
      <c r="DM66" s="108" t="str">
        <f t="shared" si="222"/>
        <v>-</v>
      </c>
      <c r="DO66" s="106" t="str">
        <f t="shared" si="223"/>
        <v>-</v>
      </c>
      <c r="DP66" s="107" t="str">
        <f t="shared" si="224"/>
        <v>-</v>
      </c>
      <c r="DQ66" s="107" t="str">
        <f t="shared" si="225"/>
        <v>-</v>
      </c>
      <c r="DR66" s="107">
        <f t="shared" si="226"/>
        <v>37.36</v>
      </c>
      <c r="DS66" s="107" t="str">
        <f t="shared" si="227"/>
        <v>-</v>
      </c>
      <c r="DT66" s="107" t="str">
        <f t="shared" si="228"/>
        <v>-</v>
      </c>
      <c r="DU66" s="107" t="str">
        <f t="shared" si="229"/>
        <v>-</v>
      </c>
      <c r="DV66" s="107" t="str">
        <f t="shared" si="230"/>
        <v>-</v>
      </c>
      <c r="DW66" s="108" t="str">
        <f t="shared" si="231"/>
        <v>-</v>
      </c>
      <c r="DX66" s="109" t="str">
        <f t="shared" si="232"/>
        <v>-</v>
      </c>
      <c r="DY66" s="110" t="str">
        <f t="shared" si="233"/>
        <v>-</v>
      </c>
      <c r="DZ66" s="110" t="str">
        <f t="shared" si="234"/>
        <v>-</v>
      </c>
      <c r="EA66" s="110" t="str">
        <f t="shared" si="235"/>
        <v>-</v>
      </c>
      <c r="EB66" s="110" t="str">
        <f t="shared" si="236"/>
        <v>-</v>
      </c>
      <c r="EC66" s="110" t="str">
        <f t="shared" si="237"/>
        <v>-</v>
      </c>
      <c r="ED66" s="110" t="str">
        <f t="shared" si="238"/>
        <v>-</v>
      </c>
      <c r="EE66" s="110" t="str">
        <f t="shared" si="239"/>
        <v>-</v>
      </c>
      <c r="EF66" s="111" t="str">
        <f t="shared" si="240"/>
        <v>-</v>
      </c>
      <c r="EG66" s="109" t="str">
        <f t="shared" si="241"/>
        <v>-</v>
      </c>
      <c r="EH66" s="110" t="str">
        <f t="shared" si="242"/>
        <v>-</v>
      </c>
      <c r="EI66" s="110" t="str">
        <f t="shared" si="243"/>
        <v>-</v>
      </c>
      <c r="EJ66" s="110" t="str">
        <f t="shared" si="244"/>
        <v>-</v>
      </c>
      <c r="EK66" s="110" t="str">
        <f t="shared" si="245"/>
        <v>-</v>
      </c>
      <c r="EL66" s="110" t="str">
        <f t="shared" si="246"/>
        <v>-</v>
      </c>
      <c r="EM66" s="110" t="str">
        <f t="shared" si="247"/>
        <v>-</v>
      </c>
      <c r="EN66" s="110" t="str">
        <f t="shared" si="248"/>
        <v>-</v>
      </c>
      <c r="EO66" s="111" t="str">
        <f t="shared" si="249"/>
        <v>-</v>
      </c>
      <c r="EQ66" s="118">
        <f t="shared" si="250"/>
        <v>37.36</v>
      </c>
      <c r="ER66" s="119" t="str">
        <f t="shared" si="251"/>
        <v>-</v>
      </c>
      <c r="ES66" s="120" t="str">
        <f t="shared" si="252"/>
        <v>-</v>
      </c>
      <c r="ET66" s="90">
        <v>2</v>
      </c>
      <c r="EU66" s="118">
        <f t="shared" si="253"/>
        <v>2</v>
      </c>
      <c r="EV66" s="119" t="str">
        <f t="shared" si="254"/>
        <v>-</v>
      </c>
      <c r="EW66" s="120" t="str">
        <f t="shared" si="255"/>
        <v>-</v>
      </c>
    </row>
    <row r="67" spans="1:153" ht="15.75" thickBot="1" x14ac:dyDescent="0.3">
      <c r="A67" s="41"/>
      <c r="B67" s="171" t="s">
        <v>503</v>
      </c>
      <c r="C67" s="171" t="s">
        <v>504</v>
      </c>
      <c r="D67" s="42">
        <f>VLOOKUP(B67,'BASE DE DATOS'!$B$3:$E$106,2,FALSE)</f>
        <v>32.75</v>
      </c>
      <c r="E67" s="42">
        <f>VLOOKUP(B67,'BASE DE DATOS'!$B$3:$E$106,4,FALSE)</f>
        <v>1.6799999999999997</v>
      </c>
      <c r="F67" s="42">
        <f>VLOOKUP(C67,'BASE DE DATOS'!$B$3:$E$106,2,FALSE)</f>
        <v>32.71</v>
      </c>
      <c r="G67" s="42">
        <f>VLOOKUP(C67,'BASE DE DATOS'!$B$3:$E$106,4,FALSE)</f>
        <v>1.7200000000000024</v>
      </c>
      <c r="H67" s="43">
        <f t="shared" si="135"/>
        <v>1.7000000000000011</v>
      </c>
      <c r="I67" s="171">
        <v>7.69</v>
      </c>
      <c r="J67" s="44">
        <f t="shared" si="132"/>
        <v>7.69</v>
      </c>
      <c r="K67" s="40">
        <f t="shared" si="133"/>
        <v>6.09</v>
      </c>
      <c r="L67" s="40">
        <f t="shared" si="134"/>
        <v>6.49</v>
      </c>
      <c r="M67" s="44">
        <f t="shared" si="124"/>
        <v>200</v>
      </c>
      <c r="N67" s="40">
        <f t="shared" si="125"/>
        <v>7.69</v>
      </c>
      <c r="O67" s="171" t="s">
        <v>120</v>
      </c>
      <c r="P67" s="19">
        <v>187.6</v>
      </c>
      <c r="Q67" s="171" t="s">
        <v>122</v>
      </c>
      <c r="R67" s="171" t="s">
        <v>133</v>
      </c>
      <c r="S67" s="171" t="s">
        <v>389</v>
      </c>
      <c r="T67" s="171" t="s">
        <v>149</v>
      </c>
      <c r="V67" s="51" t="str">
        <f t="shared" si="256"/>
        <v>-</v>
      </c>
      <c r="W67" s="52" t="str">
        <f t="shared" si="257"/>
        <v>-</v>
      </c>
      <c r="X67" s="52" t="str">
        <f t="shared" si="258"/>
        <v>-</v>
      </c>
      <c r="Y67" s="52" t="str">
        <f t="shared" si="259"/>
        <v>-</v>
      </c>
      <c r="Z67" s="52" t="str">
        <f t="shared" si="260"/>
        <v>-</v>
      </c>
      <c r="AA67" s="52" t="str">
        <f t="shared" si="261"/>
        <v>-</v>
      </c>
      <c r="AB67" s="52" t="str">
        <f t="shared" si="262"/>
        <v>-</v>
      </c>
      <c r="AC67" s="52" t="str">
        <f t="shared" si="263"/>
        <v>-</v>
      </c>
      <c r="AD67" s="52" t="str">
        <f t="shared" si="264"/>
        <v>-</v>
      </c>
      <c r="AE67" s="52" t="str">
        <f t="shared" si="265"/>
        <v>-</v>
      </c>
      <c r="AF67" s="52" t="str">
        <f t="shared" si="266"/>
        <v>-</v>
      </c>
      <c r="AG67" s="52" t="str">
        <f t="shared" si="267"/>
        <v>-</v>
      </c>
      <c r="AH67" s="52" t="str">
        <f t="shared" si="268"/>
        <v>-</v>
      </c>
      <c r="AI67" s="52" t="str">
        <f t="shared" si="269"/>
        <v>-</v>
      </c>
      <c r="AJ67" s="52" t="str">
        <f t="shared" si="270"/>
        <v>-</v>
      </c>
      <c r="AK67" s="52" t="str">
        <f t="shared" si="271"/>
        <v>-</v>
      </c>
      <c r="AL67" s="52" t="str">
        <f t="shared" si="272"/>
        <v>-</v>
      </c>
      <c r="AM67" s="53" t="str">
        <f t="shared" si="273"/>
        <v>-</v>
      </c>
      <c r="AN67" s="51" t="str">
        <f t="shared" si="274"/>
        <v>-</v>
      </c>
      <c r="AO67" s="52" t="str">
        <f t="shared" si="275"/>
        <v>-</v>
      </c>
      <c r="AP67" s="52" t="str">
        <f t="shared" si="276"/>
        <v>-</v>
      </c>
      <c r="AQ67" s="52" t="str">
        <f t="shared" si="277"/>
        <v>-</v>
      </c>
      <c r="AR67" s="52" t="str">
        <f t="shared" si="278"/>
        <v>-</v>
      </c>
      <c r="AS67" s="52" t="str">
        <f t="shared" si="279"/>
        <v>-</v>
      </c>
      <c r="AT67" s="52" t="str">
        <f t="shared" si="280"/>
        <v>-</v>
      </c>
      <c r="AU67" s="52" t="str">
        <f t="shared" si="281"/>
        <v>-</v>
      </c>
      <c r="AV67" s="52" t="str">
        <f t="shared" si="282"/>
        <v>-</v>
      </c>
      <c r="AW67" s="52" t="str">
        <f t="shared" si="283"/>
        <v>-</v>
      </c>
      <c r="AX67" s="52" t="str">
        <f t="shared" si="284"/>
        <v>-</v>
      </c>
      <c r="AY67" s="52" t="str">
        <f t="shared" si="285"/>
        <v>-</v>
      </c>
      <c r="AZ67" s="52" t="str">
        <f t="shared" si="286"/>
        <v>-</v>
      </c>
      <c r="BA67" s="52" t="str">
        <f t="shared" si="287"/>
        <v>-</v>
      </c>
      <c r="BB67" s="52" t="str">
        <f t="shared" si="288"/>
        <v>-</v>
      </c>
      <c r="BC67" s="52" t="str">
        <f t="shared" si="289"/>
        <v>-</v>
      </c>
      <c r="BD67" s="52" t="str">
        <f t="shared" si="290"/>
        <v>-</v>
      </c>
      <c r="BE67" s="53" t="str">
        <f t="shared" si="291"/>
        <v>-</v>
      </c>
      <c r="BF67" s="51" t="str">
        <f t="shared" si="292"/>
        <v>-</v>
      </c>
      <c r="BG67" s="52" t="str">
        <f t="shared" si="293"/>
        <v>-</v>
      </c>
      <c r="BH67" s="52" t="str">
        <f t="shared" si="294"/>
        <v>-</v>
      </c>
      <c r="BI67" s="52" t="str">
        <f t="shared" si="295"/>
        <v>-</v>
      </c>
      <c r="BJ67" s="52">
        <f t="shared" si="296"/>
        <v>6.09</v>
      </c>
      <c r="BK67" s="52" t="str">
        <f t="shared" si="297"/>
        <v>-</v>
      </c>
      <c r="BL67" s="52" t="str">
        <f t="shared" si="298"/>
        <v>-</v>
      </c>
      <c r="BM67" s="52" t="str">
        <f t="shared" si="299"/>
        <v>-</v>
      </c>
      <c r="BN67" s="52" t="str">
        <f t="shared" si="300"/>
        <v>-</v>
      </c>
      <c r="BO67" s="52" t="str">
        <f t="shared" si="301"/>
        <v>-</v>
      </c>
      <c r="BP67" s="52" t="str">
        <f t="shared" si="302"/>
        <v>-</v>
      </c>
      <c r="BQ67" s="52" t="str">
        <f t="shared" si="303"/>
        <v>-</v>
      </c>
      <c r="BR67" s="52" t="str">
        <f t="shared" si="304"/>
        <v>-</v>
      </c>
      <c r="BS67" s="52" t="str">
        <f t="shared" si="305"/>
        <v>-</v>
      </c>
      <c r="BT67" s="52" t="str">
        <f t="shared" si="306"/>
        <v>-</v>
      </c>
      <c r="BU67" s="52" t="str">
        <f t="shared" si="307"/>
        <v>-</v>
      </c>
      <c r="BV67" s="52" t="str">
        <f t="shared" si="308"/>
        <v>-</v>
      </c>
      <c r="BW67" s="53" t="str">
        <f t="shared" si="309"/>
        <v>-</v>
      </c>
      <c r="BX67" s="51" t="str">
        <f t="shared" si="310"/>
        <v>-</v>
      </c>
      <c r="BY67" s="52" t="str">
        <f t="shared" si="311"/>
        <v>-</v>
      </c>
      <c r="BZ67" s="52" t="str">
        <f t="shared" si="312"/>
        <v>-</v>
      </c>
      <c r="CA67" s="52" t="str">
        <f t="shared" si="313"/>
        <v>-</v>
      </c>
      <c r="CB67" s="52" t="str">
        <f t="shared" si="314"/>
        <v>-</v>
      </c>
      <c r="CC67" s="52" t="str">
        <f t="shared" si="315"/>
        <v>-</v>
      </c>
      <c r="CD67" s="52" t="str">
        <f t="shared" si="316"/>
        <v>-</v>
      </c>
      <c r="CE67" s="52" t="str">
        <f t="shared" si="317"/>
        <v>-</v>
      </c>
      <c r="CF67" s="52" t="str">
        <f t="shared" si="318"/>
        <v>-</v>
      </c>
      <c r="CG67" s="52" t="str">
        <f t="shared" si="319"/>
        <v>-</v>
      </c>
      <c r="CH67" s="52" t="str">
        <f t="shared" si="320"/>
        <v>-</v>
      </c>
      <c r="CI67" s="52" t="str">
        <f t="shared" si="321"/>
        <v>-</v>
      </c>
      <c r="CJ67" s="52" t="str">
        <f t="shared" si="322"/>
        <v>-</v>
      </c>
      <c r="CK67" s="52" t="str">
        <f t="shared" si="323"/>
        <v>-</v>
      </c>
      <c r="CL67" s="52" t="str">
        <f t="shared" si="324"/>
        <v>-</v>
      </c>
      <c r="CM67" s="52" t="str">
        <f t="shared" si="325"/>
        <v>-</v>
      </c>
      <c r="CN67" s="52" t="str">
        <f t="shared" si="326"/>
        <v>-</v>
      </c>
      <c r="CO67" s="53" t="str">
        <f t="shared" si="327"/>
        <v>-</v>
      </c>
      <c r="CQ67" s="305" t="str">
        <f t="shared" si="126"/>
        <v>-</v>
      </c>
      <c r="CR67" s="305" t="str">
        <f t="shared" si="127"/>
        <v>-</v>
      </c>
      <c r="CS67" s="305" t="str">
        <f t="shared" si="128"/>
        <v>-</v>
      </c>
      <c r="CT67" s="305" t="str">
        <f t="shared" si="129"/>
        <v>-</v>
      </c>
      <c r="CU67" s="305">
        <f t="shared" si="130"/>
        <v>7.69</v>
      </c>
      <c r="CV67" s="305" t="str">
        <f t="shared" si="131"/>
        <v>-</v>
      </c>
      <c r="CX67" s="51">
        <f t="shared" si="208"/>
        <v>6.49</v>
      </c>
      <c r="CY67" s="52" t="str">
        <f t="shared" si="209"/>
        <v>-</v>
      </c>
      <c r="CZ67" s="53" t="str">
        <f t="shared" si="210"/>
        <v>-</v>
      </c>
      <c r="DA67" s="51" t="str">
        <f t="shared" si="211"/>
        <v>-</v>
      </c>
      <c r="DB67" s="52" t="str">
        <f t="shared" si="212"/>
        <v>-</v>
      </c>
      <c r="DC67" s="53" t="str">
        <f t="shared" si="213"/>
        <v>-</v>
      </c>
      <c r="DD67" s="57"/>
      <c r="DE67" s="106" t="str">
        <f t="shared" si="214"/>
        <v>-</v>
      </c>
      <c r="DF67" s="107" t="str">
        <f t="shared" si="215"/>
        <v>-</v>
      </c>
      <c r="DG67" s="107" t="str">
        <f t="shared" si="216"/>
        <v>-</v>
      </c>
      <c r="DH67" s="107">
        <f t="shared" si="217"/>
        <v>6.49</v>
      </c>
      <c r="DI67" s="107" t="str">
        <f t="shared" si="218"/>
        <v>-</v>
      </c>
      <c r="DJ67" s="107" t="str">
        <f t="shared" si="219"/>
        <v>-</v>
      </c>
      <c r="DK67" s="107" t="str">
        <f t="shared" si="220"/>
        <v>-</v>
      </c>
      <c r="DL67" s="107" t="str">
        <f t="shared" si="221"/>
        <v>-</v>
      </c>
      <c r="DM67" s="108" t="str">
        <f t="shared" si="222"/>
        <v>-</v>
      </c>
      <c r="DO67" s="106" t="str">
        <f t="shared" si="223"/>
        <v>-</v>
      </c>
      <c r="DP67" s="107" t="str">
        <f t="shared" si="224"/>
        <v>-</v>
      </c>
      <c r="DQ67" s="107" t="str">
        <f t="shared" si="225"/>
        <v>-</v>
      </c>
      <c r="DR67" s="107">
        <f t="shared" si="226"/>
        <v>6.49</v>
      </c>
      <c r="DS67" s="107" t="str">
        <f t="shared" si="227"/>
        <v>-</v>
      </c>
      <c r="DT67" s="107" t="str">
        <f t="shared" si="228"/>
        <v>-</v>
      </c>
      <c r="DU67" s="107" t="str">
        <f t="shared" si="229"/>
        <v>-</v>
      </c>
      <c r="DV67" s="107" t="str">
        <f t="shared" si="230"/>
        <v>-</v>
      </c>
      <c r="DW67" s="108" t="str">
        <f t="shared" si="231"/>
        <v>-</v>
      </c>
      <c r="DX67" s="109" t="str">
        <f t="shared" si="232"/>
        <v>-</v>
      </c>
      <c r="DY67" s="110" t="str">
        <f t="shared" si="233"/>
        <v>-</v>
      </c>
      <c r="DZ67" s="110" t="str">
        <f t="shared" si="234"/>
        <v>-</v>
      </c>
      <c r="EA67" s="110" t="str">
        <f t="shared" si="235"/>
        <v>-</v>
      </c>
      <c r="EB67" s="110" t="str">
        <f t="shared" si="236"/>
        <v>-</v>
      </c>
      <c r="EC67" s="110" t="str">
        <f t="shared" si="237"/>
        <v>-</v>
      </c>
      <c r="ED67" s="110" t="str">
        <f t="shared" si="238"/>
        <v>-</v>
      </c>
      <c r="EE67" s="110" t="str">
        <f t="shared" si="239"/>
        <v>-</v>
      </c>
      <c r="EF67" s="111" t="str">
        <f t="shared" si="240"/>
        <v>-</v>
      </c>
      <c r="EG67" s="109" t="str">
        <f t="shared" si="241"/>
        <v>-</v>
      </c>
      <c r="EH67" s="110" t="str">
        <f t="shared" si="242"/>
        <v>-</v>
      </c>
      <c r="EI67" s="110" t="str">
        <f t="shared" si="243"/>
        <v>-</v>
      </c>
      <c r="EJ67" s="110" t="str">
        <f t="shared" si="244"/>
        <v>-</v>
      </c>
      <c r="EK67" s="110" t="str">
        <f t="shared" si="245"/>
        <v>-</v>
      </c>
      <c r="EL67" s="110" t="str">
        <f t="shared" si="246"/>
        <v>-</v>
      </c>
      <c r="EM67" s="110" t="str">
        <f t="shared" si="247"/>
        <v>-</v>
      </c>
      <c r="EN67" s="110" t="str">
        <f t="shared" si="248"/>
        <v>-</v>
      </c>
      <c r="EO67" s="111" t="str">
        <f t="shared" si="249"/>
        <v>-</v>
      </c>
      <c r="EQ67" s="118">
        <f t="shared" si="250"/>
        <v>6.49</v>
      </c>
      <c r="ER67" s="119" t="str">
        <f t="shared" si="251"/>
        <v>-</v>
      </c>
      <c r="ES67" s="120" t="str">
        <f t="shared" si="252"/>
        <v>-</v>
      </c>
      <c r="ET67" s="90">
        <v>2</v>
      </c>
      <c r="EU67" s="118">
        <f t="shared" si="253"/>
        <v>2</v>
      </c>
      <c r="EV67" s="119" t="str">
        <f t="shared" si="254"/>
        <v>-</v>
      </c>
      <c r="EW67" s="120" t="str">
        <f t="shared" si="255"/>
        <v>-</v>
      </c>
    </row>
    <row r="68" spans="1:153" ht="15.75" thickBot="1" x14ac:dyDescent="0.3">
      <c r="A68" s="41"/>
      <c r="B68" s="171" t="s">
        <v>504</v>
      </c>
      <c r="C68" s="171" t="s">
        <v>505</v>
      </c>
      <c r="D68" s="42">
        <f>VLOOKUP(B68,'BASE DE DATOS'!$B$3:$E$106,2,FALSE)</f>
        <v>32.71</v>
      </c>
      <c r="E68" s="42">
        <f>VLOOKUP(B68,'BASE DE DATOS'!$B$3:$E$106,4,FALSE)</f>
        <v>1.7200000000000024</v>
      </c>
      <c r="F68" s="42">
        <f>VLOOKUP(C68,'BASE DE DATOS'!$B$3:$E$106,2,FALSE)</f>
        <v>32.659999999999997</v>
      </c>
      <c r="G68" s="42">
        <f>VLOOKUP(C68,'BASE DE DATOS'!$B$3:$E$106,4,FALSE)</f>
        <v>1.8299999999999983</v>
      </c>
      <c r="H68" s="43">
        <f t="shared" si="135"/>
        <v>1.7750000000000004</v>
      </c>
      <c r="I68" s="171">
        <v>36.1</v>
      </c>
      <c r="J68" s="44">
        <f t="shared" si="132"/>
        <v>36.1</v>
      </c>
      <c r="K68" s="40">
        <f t="shared" si="133"/>
        <v>34.5</v>
      </c>
      <c r="L68" s="40">
        <f t="shared" si="134"/>
        <v>34.9</v>
      </c>
      <c r="M68" s="44">
        <f t="shared" si="124"/>
        <v>200</v>
      </c>
      <c r="N68" s="40">
        <f t="shared" si="125"/>
        <v>36.1</v>
      </c>
      <c r="O68" s="171" t="s">
        <v>120</v>
      </c>
      <c r="P68" s="19">
        <v>187.6</v>
      </c>
      <c r="Q68" s="171" t="s">
        <v>122</v>
      </c>
      <c r="R68" s="171" t="s">
        <v>133</v>
      </c>
      <c r="S68" s="171" t="s">
        <v>148</v>
      </c>
      <c r="T68" s="171" t="s">
        <v>149</v>
      </c>
      <c r="V68" s="51" t="str">
        <f t="shared" si="256"/>
        <v>-</v>
      </c>
      <c r="W68" s="52" t="str">
        <f t="shared" si="257"/>
        <v>-</v>
      </c>
      <c r="X68" s="52" t="str">
        <f t="shared" si="258"/>
        <v>-</v>
      </c>
      <c r="Y68" s="52" t="str">
        <f t="shared" si="259"/>
        <v>-</v>
      </c>
      <c r="Z68" s="52" t="str">
        <f t="shared" si="260"/>
        <v>-</v>
      </c>
      <c r="AA68" s="52" t="str">
        <f t="shared" si="261"/>
        <v>-</v>
      </c>
      <c r="AB68" s="52" t="str">
        <f t="shared" si="262"/>
        <v>-</v>
      </c>
      <c r="AC68" s="52" t="str">
        <f t="shared" si="263"/>
        <v>-</v>
      </c>
      <c r="AD68" s="52" t="str">
        <f t="shared" si="264"/>
        <v>-</v>
      </c>
      <c r="AE68" s="52" t="str">
        <f t="shared" si="265"/>
        <v>-</v>
      </c>
      <c r="AF68" s="52" t="str">
        <f t="shared" si="266"/>
        <v>-</v>
      </c>
      <c r="AG68" s="52" t="str">
        <f t="shared" si="267"/>
        <v>-</v>
      </c>
      <c r="AH68" s="52" t="str">
        <f t="shared" si="268"/>
        <v>-</v>
      </c>
      <c r="AI68" s="52" t="str">
        <f t="shared" si="269"/>
        <v>-</v>
      </c>
      <c r="AJ68" s="52" t="str">
        <f t="shared" si="270"/>
        <v>-</v>
      </c>
      <c r="AK68" s="52" t="str">
        <f t="shared" si="271"/>
        <v>-</v>
      </c>
      <c r="AL68" s="52" t="str">
        <f t="shared" si="272"/>
        <v>-</v>
      </c>
      <c r="AM68" s="53" t="str">
        <f t="shared" si="273"/>
        <v>-</v>
      </c>
      <c r="AN68" s="51" t="str">
        <f t="shared" si="274"/>
        <v>-</v>
      </c>
      <c r="AO68" s="52" t="str">
        <f t="shared" si="275"/>
        <v>-</v>
      </c>
      <c r="AP68" s="52" t="str">
        <f t="shared" si="276"/>
        <v>-</v>
      </c>
      <c r="AQ68" s="52" t="str">
        <f t="shared" si="277"/>
        <v>-</v>
      </c>
      <c r="AR68" s="52" t="str">
        <f t="shared" si="278"/>
        <v>-</v>
      </c>
      <c r="AS68" s="52" t="str">
        <f t="shared" si="279"/>
        <v>-</v>
      </c>
      <c r="AT68" s="52" t="str">
        <f t="shared" si="280"/>
        <v>-</v>
      </c>
      <c r="AU68" s="52" t="str">
        <f t="shared" si="281"/>
        <v>-</v>
      </c>
      <c r="AV68" s="52" t="str">
        <f t="shared" si="282"/>
        <v>-</v>
      </c>
      <c r="AW68" s="52" t="str">
        <f t="shared" si="283"/>
        <v>-</v>
      </c>
      <c r="AX68" s="52" t="str">
        <f t="shared" si="284"/>
        <v>-</v>
      </c>
      <c r="AY68" s="52" t="str">
        <f t="shared" si="285"/>
        <v>-</v>
      </c>
      <c r="AZ68" s="52" t="str">
        <f t="shared" si="286"/>
        <v>-</v>
      </c>
      <c r="BA68" s="52" t="str">
        <f t="shared" si="287"/>
        <v>-</v>
      </c>
      <c r="BB68" s="52" t="str">
        <f t="shared" si="288"/>
        <v>-</v>
      </c>
      <c r="BC68" s="52" t="str">
        <f t="shared" si="289"/>
        <v>-</v>
      </c>
      <c r="BD68" s="52" t="str">
        <f t="shared" si="290"/>
        <v>-</v>
      </c>
      <c r="BE68" s="53" t="str">
        <f t="shared" si="291"/>
        <v>-</v>
      </c>
      <c r="BF68" s="51" t="str">
        <f t="shared" si="292"/>
        <v>-</v>
      </c>
      <c r="BG68" s="52" t="str">
        <f t="shared" si="293"/>
        <v>-</v>
      </c>
      <c r="BH68" s="52" t="str">
        <f t="shared" si="294"/>
        <v>-</v>
      </c>
      <c r="BI68" s="52" t="str">
        <f t="shared" si="295"/>
        <v>-</v>
      </c>
      <c r="BJ68" s="52" t="str">
        <f t="shared" si="296"/>
        <v>-</v>
      </c>
      <c r="BK68" s="52" t="str">
        <f t="shared" si="297"/>
        <v>-</v>
      </c>
      <c r="BL68" s="52">
        <f t="shared" si="298"/>
        <v>34.5</v>
      </c>
      <c r="BM68" s="52" t="str">
        <f t="shared" si="299"/>
        <v>-</v>
      </c>
      <c r="BN68" s="52" t="str">
        <f t="shared" si="300"/>
        <v>-</v>
      </c>
      <c r="BO68" s="52" t="str">
        <f t="shared" si="301"/>
        <v>-</v>
      </c>
      <c r="BP68" s="52" t="str">
        <f t="shared" si="302"/>
        <v>-</v>
      </c>
      <c r="BQ68" s="52" t="str">
        <f t="shared" si="303"/>
        <v>-</v>
      </c>
      <c r="BR68" s="52" t="str">
        <f t="shared" si="304"/>
        <v>-</v>
      </c>
      <c r="BS68" s="52" t="str">
        <f t="shared" si="305"/>
        <v>-</v>
      </c>
      <c r="BT68" s="52" t="str">
        <f t="shared" si="306"/>
        <v>-</v>
      </c>
      <c r="BU68" s="52" t="str">
        <f t="shared" si="307"/>
        <v>-</v>
      </c>
      <c r="BV68" s="52" t="str">
        <f t="shared" si="308"/>
        <v>-</v>
      </c>
      <c r="BW68" s="53" t="str">
        <f t="shared" si="309"/>
        <v>-</v>
      </c>
      <c r="BX68" s="51" t="str">
        <f t="shared" si="310"/>
        <v>-</v>
      </c>
      <c r="BY68" s="52" t="str">
        <f t="shared" si="311"/>
        <v>-</v>
      </c>
      <c r="BZ68" s="52" t="str">
        <f t="shared" si="312"/>
        <v>-</v>
      </c>
      <c r="CA68" s="52" t="str">
        <f t="shared" si="313"/>
        <v>-</v>
      </c>
      <c r="CB68" s="52" t="str">
        <f t="shared" si="314"/>
        <v>-</v>
      </c>
      <c r="CC68" s="52" t="str">
        <f t="shared" si="315"/>
        <v>-</v>
      </c>
      <c r="CD68" s="52" t="str">
        <f t="shared" si="316"/>
        <v>-</v>
      </c>
      <c r="CE68" s="52" t="str">
        <f t="shared" si="317"/>
        <v>-</v>
      </c>
      <c r="CF68" s="52" t="str">
        <f t="shared" si="318"/>
        <v>-</v>
      </c>
      <c r="CG68" s="52" t="str">
        <f t="shared" si="319"/>
        <v>-</v>
      </c>
      <c r="CH68" s="52" t="str">
        <f t="shared" si="320"/>
        <v>-</v>
      </c>
      <c r="CI68" s="52" t="str">
        <f t="shared" si="321"/>
        <v>-</v>
      </c>
      <c r="CJ68" s="52" t="str">
        <f t="shared" si="322"/>
        <v>-</v>
      </c>
      <c r="CK68" s="52" t="str">
        <f t="shared" si="323"/>
        <v>-</v>
      </c>
      <c r="CL68" s="52" t="str">
        <f t="shared" si="324"/>
        <v>-</v>
      </c>
      <c r="CM68" s="52" t="str">
        <f t="shared" si="325"/>
        <v>-</v>
      </c>
      <c r="CN68" s="52" t="str">
        <f t="shared" si="326"/>
        <v>-</v>
      </c>
      <c r="CO68" s="53" t="str">
        <f t="shared" si="327"/>
        <v>-</v>
      </c>
      <c r="CQ68" s="305" t="str">
        <f t="shared" si="126"/>
        <v>-</v>
      </c>
      <c r="CR68" s="305" t="str">
        <f t="shared" si="127"/>
        <v>-</v>
      </c>
      <c r="CS68" s="305" t="str">
        <f t="shared" si="128"/>
        <v>-</v>
      </c>
      <c r="CT68" s="305">
        <f t="shared" si="129"/>
        <v>36.1</v>
      </c>
      <c r="CU68" s="305" t="str">
        <f t="shared" si="130"/>
        <v>-</v>
      </c>
      <c r="CV68" s="305" t="str">
        <f t="shared" si="131"/>
        <v>-</v>
      </c>
      <c r="CX68" s="51">
        <f t="shared" si="208"/>
        <v>34.9</v>
      </c>
      <c r="CY68" s="52" t="str">
        <f t="shared" si="209"/>
        <v>-</v>
      </c>
      <c r="CZ68" s="53" t="str">
        <f t="shared" si="210"/>
        <v>-</v>
      </c>
      <c r="DA68" s="51" t="str">
        <f t="shared" si="211"/>
        <v>-</v>
      </c>
      <c r="DB68" s="52" t="str">
        <f t="shared" si="212"/>
        <v>-</v>
      </c>
      <c r="DC68" s="53" t="str">
        <f t="shared" si="213"/>
        <v>-</v>
      </c>
      <c r="DD68" s="57"/>
      <c r="DE68" s="106" t="str">
        <f t="shared" si="214"/>
        <v>-</v>
      </c>
      <c r="DF68" s="107" t="str">
        <f t="shared" si="215"/>
        <v>-</v>
      </c>
      <c r="DG68" s="107" t="str">
        <f t="shared" si="216"/>
        <v>-</v>
      </c>
      <c r="DH68" s="107">
        <f t="shared" si="217"/>
        <v>34.9</v>
      </c>
      <c r="DI68" s="107" t="str">
        <f t="shared" si="218"/>
        <v>-</v>
      </c>
      <c r="DJ68" s="107" t="str">
        <f t="shared" si="219"/>
        <v>-</v>
      </c>
      <c r="DK68" s="107" t="str">
        <f t="shared" si="220"/>
        <v>-</v>
      </c>
      <c r="DL68" s="107" t="str">
        <f t="shared" si="221"/>
        <v>-</v>
      </c>
      <c r="DM68" s="108" t="str">
        <f t="shared" si="222"/>
        <v>-</v>
      </c>
      <c r="DO68" s="106" t="str">
        <f t="shared" si="223"/>
        <v>-</v>
      </c>
      <c r="DP68" s="107" t="str">
        <f t="shared" si="224"/>
        <v>-</v>
      </c>
      <c r="DQ68" s="107" t="str">
        <f t="shared" si="225"/>
        <v>-</v>
      </c>
      <c r="DR68" s="107">
        <f t="shared" si="226"/>
        <v>34.9</v>
      </c>
      <c r="DS68" s="107" t="str">
        <f t="shared" si="227"/>
        <v>-</v>
      </c>
      <c r="DT68" s="107" t="str">
        <f t="shared" si="228"/>
        <v>-</v>
      </c>
      <c r="DU68" s="107" t="str">
        <f t="shared" si="229"/>
        <v>-</v>
      </c>
      <c r="DV68" s="107" t="str">
        <f t="shared" si="230"/>
        <v>-</v>
      </c>
      <c r="DW68" s="108" t="str">
        <f t="shared" si="231"/>
        <v>-</v>
      </c>
      <c r="DX68" s="109" t="str">
        <f t="shared" si="232"/>
        <v>-</v>
      </c>
      <c r="DY68" s="110" t="str">
        <f t="shared" si="233"/>
        <v>-</v>
      </c>
      <c r="DZ68" s="110" t="str">
        <f t="shared" si="234"/>
        <v>-</v>
      </c>
      <c r="EA68" s="110" t="str">
        <f t="shared" si="235"/>
        <v>-</v>
      </c>
      <c r="EB68" s="110" t="str">
        <f t="shared" si="236"/>
        <v>-</v>
      </c>
      <c r="EC68" s="110" t="str">
        <f t="shared" si="237"/>
        <v>-</v>
      </c>
      <c r="ED68" s="110" t="str">
        <f t="shared" si="238"/>
        <v>-</v>
      </c>
      <c r="EE68" s="110" t="str">
        <f t="shared" si="239"/>
        <v>-</v>
      </c>
      <c r="EF68" s="111" t="str">
        <f t="shared" si="240"/>
        <v>-</v>
      </c>
      <c r="EG68" s="109" t="str">
        <f t="shared" si="241"/>
        <v>-</v>
      </c>
      <c r="EH68" s="110" t="str">
        <f t="shared" si="242"/>
        <v>-</v>
      </c>
      <c r="EI68" s="110" t="str">
        <f t="shared" si="243"/>
        <v>-</v>
      </c>
      <c r="EJ68" s="110" t="str">
        <f t="shared" si="244"/>
        <v>-</v>
      </c>
      <c r="EK68" s="110" t="str">
        <f t="shared" si="245"/>
        <v>-</v>
      </c>
      <c r="EL68" s="110" t="str">
        <f t="shared" si="246"/>
        <v>-</v>
      </c>
      <c r="EM68" s="110" t="str">
        <f t="shared" si="247"/>
        <v>-</v>
      </c>
      <c r="EN68" s="110" t="str">
        <f t="shared" si="248"/>
        <v>-</v>
      </c>
      <c r="EO68" s="111" t="str">
        <f t="shared" si="249"/>
        <v>-</v>
      </c>
      <c r="EQ68" s="118">
        <f t="shared" si="250"/>
        <v>34.9</v>
      </c>
      <c r="ER68" s="119" t="str">
        <f t="shared" si="251"/>
        <v>-</v>
      </c>
      <c r="ES68" s="120" t="str">
        <f t="shared" si="252"/>
        <v>-</v>
      </c>
      <c r="ET68" s="90">
        <v>2</v>
      </c>
      <c r="EU68" s="118">
        <f t="shared" si="253"/>
        <v>2</v>
      </c>
      <c r="EV68" s="119" t="str">
        <f t="shared" si="254"/>
        <v>-</v>
      </c>
      <c r="EW68" s="120" t="str">
        <f t="shared" si="255"/>
        <v>-</v>
      </c>
    </row>
    <row r="69" spans="1:153" ht="15.75" thickBot="1" x14ac:dyDescent="0.3">
      <c r="A69" s="41"/>
      <c r="B69" s="171" t="s">
        <v>505</v>
      </c>
      <c r="C69" s="171" t="s">
        <v>500</v>
      </c>
      <c r="D69" s="42">
        <f>VLOOKUP(B69,'BASE DE DATOS'!$B$3:$E$106,2,FALSE)</f>
        <v>32.659999999999997</v>
      </c>
      <c r="E69" s="42">
        <f>VLOOKUP(B69,'BASE DE DATOS'!$B$3:$E$106,4,FALSE)</f>
        <v>1.8299999999999983</v>
      </c>
      <c r="F69" s="42">
        <f>VLOOKUP(C69,'BASE DE DATOS'!$B$3:$E$106,2,FALSE)</f>
        <v>32.770000000000003</v>
      </c>
      <c r="G69" s="42">
        <f>VLOOKUP(C69,'BASE DE DATOS'!$B$3:$E$106,4,FALSE)</f>
        <v>2.1700000000000017</v>
      </c>
      <c r="H69" s="43">
        <f t="shared" si="135"/>
        <v>2</v>
      </c>
      <c r="I69" s="171">
        <v>41.13</v>
      </c>
      <c r="J69" s="44">
        <f t="shared" si="132"/>
        <v>41.13</v>
      </c>
      <c r="K69" s="40">
        <f t="shared" si="133"/>
        <v>39.53</v>
      </c>
      <c r="L69" s="40">
        <f t="shared" si="134"/>
        <v>39.93</v>
      </c>
      <c r="M69" s="44">
        <f t="shared" si="124"/>
        <v>200</v>
      </c>
      <c r="N69" s="40">
        <f t="shared" si="125"/>
        <v>41.13</v>
      </c>
      <c r="O69" s="171" t="s">
        <v>120</v>
      </c>
      <c r="P69" s="19">
        <v>187.6</v>
      </c>
      <c r="Q69" s="171" t="s">
        <v>123</v>
      </c>
      <c r="R69" s="171" t="s">
        <v>133</v>
      </c>
      <c r="S69" s="171" t="s">
        <v>148</v>
      </c>
      <c r="T69" s="171" t="s">
        <v>149</v>
      </c>
      <c r="V69" s="51" t="str">
        <f t="shared" si="256"/>
        <v>-</v>
      </c>
      <c r="W69" s="52" t="str">
        <f t="shared" si="257"/>
        <v>-</v>
      </c>
      <c r="X69" s="52" t="str">
        <f t="shared" si="258"/>
        <v>-</v>
      </c>
      <c r="Y69" s="52" t="str">
        <f t="shared" si="259"/>
        <v>-</v>
      </c>
      <c r="Z69" s="52" t="str">
        <f t="shared" si="260"/>
        <v>-</v>
      </c>
      <c r="AA69" s="52" t="str">
        <f t="shared" si="261"/>
        <v>-</v>
      </c>
      <c r="AB69" s="52" t="str">
        <f t="shared" si="262"/>
        <v>-</v>
      </c>
      <c r="AC69" s="52" t="str">
        <f t="shared" si="263"/>
        <v>-</v>
      </c>
      <c r="AD69" s="52" t="str">
        <f t="shared" si="264"/>
        <v>-</v>
      </c>
      <c r="AE69" s="52" t="str">
        <f t="shared" si="265"/>
        <v>-</v>
      </c>
      <c r="AF69" s="52" t="str">
        <f t="shared" si="266"/>
        <v>-</v>
      </c>
      <c r="AG69" s="52" t="str">
        <f t="shared" si="267"/>
        <v>-</v>
      </c>
      <c r="AH69" s="52" t="str">
        <f t="shared" si="268"/>
        <v>-</v>
      </c>
      <c r="AI69" s="52" t="str">
        <f t="shared" si="269"/>
        <v>-</v>
      </c>
      <c r="AJ69" s="52" t="str">
        <f t="shared" si="270"/>
        <v>-</v>
      </c>
      <c r="AK69" s="52" t="str">
        <f t="shared" si="271"/>
        <v>-</v>
      </c>
      <c r="AL69" s="52" t="str">
        <f t="shared" si="272"/>
        <v>-</v>
      </c>
      <c r="AM69" s="53" t="str">
        <f t="shared" si="273"/>
        <v>-</v>
      </c>
      <c r="AN69" s="51" t="str">
        <f t="shared" si="274"/>
        <v>-</v>
      </c>
      <c r="AO69" s="52" t="str">
        <f t="shared" si="275"/>
        <v>-</v>
      </c>
      <c r="AP69" s="52" t="str">
        <f t="shared" si="276"/>
        <v>-</v>
      </c>
      <c r="AQ69" s="52" t="str">
        <f t="shared" si="277"/>
        <v>-</v>
      </c>
      <c r="AR69" s="52" t="str">
        <f t="shared" si="278"/>
        <v>-</v>
      </c>
      <c r="AS69" s="52" t="str">
        <f t="shared" si="279"/>
        <v>-</v>
      </c>
      <c r="AT69" s="52" t="str">
        <f t="shared" si="280"/>
        <v>-</v>
      </c>
      <c r="AU69" s="52" t="str">
        <f t="shared" si="281"/>
        <v>-</v>
      </c>
      <c r="AV69" s="52" t="str">
        <f t="shared" si="282"/>
        <v>-</v>
      </c>
      <c r="AW69" s="52" t="str">
        <f t="shared" si="283"/>
        <v>-</v>
      </c>
      <c r="AX69" s="52" t="str">
        <f t="shared" si="284"/>
        <v>-</v>
      </c>
      <c r="AY69" s="52" t="str">
        <f t="shared" si="285"/>
        <v>-</v>
      </c>
      <c r="AZ69" s="52" t="str">
        <f t="shared" si="286"/>
        <v>-</v>
      </c>
      <c r="BA69" s="52" t="str">
        <f t="shared" si="287"/>
        <v>-</v>
      </c>
      <c r="BB69" s="52" t="str">
        <f t="shared" si="288"/>
        <v>-</v>
      </c>
      <c r="BC69" s="52" t="str">
        <f t="shared" si="289"/>
        <v>-</v>
      </c>
      <c r="BD69" s="52" t="str">
        <f t="shared" si="290"/>
        <v>-</v>
      </c>
      <c r="BE69" s="53" t="str">
        <f t="shared" si="291"/>
        <v>-</v>
      </c>
      <c r="BF69" s="51" t="str">
        <f t="shared" si="292"/>
        <v>-</v>
      </c>
      <c r="BG69" s="52" t="str">
        <f t="shared" si="293"/>
        <v>-</v>
      </c>
      <c r="BH69" s="52" t="str">
        <f t="shared" si="294"/>
        <v>-</v>
      </c>
      <c r="BI69" s="52" t="str">
        <f t="shared" si="295"/>
        <v>-</v>
      </c>
      <c r="BJ69" s="52" t="str">
        <f t="shared" si="296"/>
        <v>-</v>
      </c>
      <c r="BK69" s="52" t="str">
        <f t="shared" si="297"/>
        <v>-</v>
      </c>
      <c r="BL69" s="52" t="str">
        <f t="shared" si="298"/>
        <v>-</v>
      </c>
      <c r="BM69" s="52">
        <f t="shared" si="299"/>
        <v>39.53</v>
      </c>
      <c r="BN69" s="52" t="str">
        <f t="shared" si="300"/>
        <v>-</v>
      </c>
      <c r="BO69" s="52" t="str">
        <f t="shared" si="301"/>
        <v>-</v>
      </c>
      <c r="BP69" s="52" t="str">
        <f t="shared" si="302"/>
        <v>-</v>
      </c>
      <c r="BQ69" s="52" t="str">
        <f t="shared" si="303"/>
        <v>-</v>
      </c>
      <c r="BR69" s="52" t="str">
        <f t="shared" si="304"/>
        <v>-</v>
      </c>
      <c r="BS69" s="52" t="str">
        <f t="shared" si="305"/>
        <v>-</v>
      </c>
      <c r="BT69" s="52" t="str">
        <f t="shared" si="306"/>
        <v>-</v>
      </c>
      <c r="BU69" s="52" t="str">
        <f t="shared" si="307"/>
        <v>-</v>
      </c>
      <c r="BV69" s="52" t="str">
        <f t="shared" si="308"/>
        <v>-</v>
      </c>
      <c r="BW69" s="53" t="str">
        <f t="shared" si="309"/>
        <v>-</v>
      </c>
      <c r="BX69" s="51" t="str">
        <f t="shared" si="310"/>
        <v>-</v>
      </c>
      <c r="BY69" s="52" t="str">
        <f t="shared" si="311"/>
        <v>-</v>
      </c>
      <c r="BZ69" s="52" t="str">
        <f t="shared" si="312"/>
        <v>-</v>
      </c>
      <c r="CA69" s="52" t="str">
        <f t="shared" si="313"/>
        <v>-</v>
      </c>
      <c r="CB69" s="52" t="str">
        <f t="shared" si="314"/>
        <v>-</v>
      </c>
      <c r="CC69" s="52" t="str">
        <f t="shared" si="315"/>
        <v>-</v>
      </c>
      <c r="CD69" s="52" t="str">
        <f t="shared" si="316"/>
        <v>-</v>
      </c>
      <c r="CE69" s="52" t="str">
        <f t="shared" si="317"/>
        <v>-</v>
      </c>
      <c r="CF69" s="52" t="str">
        <f t="shared" si="318"/>
        <v>-</v>
      </c>
      <c r="CG69" s="52" t="str">
        <f t="shared" si="319"/>
        <v>-</v>
      </c>
      <c r="CH69" s="52" t="str">
        <f t="shared" si="320"/>
        <v>-</v>
      </c>
      <c r="CI69" s="52" t="str">
        <f t="shared" si="321"/>
        <v>-</v>
      </c>
      <c r="CJ69" s="52" t="str">
        <f t="shared" si="322"/>
        <v>-</v>
      </c>
      <c r="CK69" s="52" t="str">
        <f t="shared" si="323"/>
        <v>-</v>
      </c>
      <c r="CL69" s="52" t="str">
        <f t="shared" si="324"/>
        <v>-</v>
      </c>
      <c r="CM69" s="52" t="str">
        <f t="shared" si="325"/>
        <v>-</v>
      </c>
      <c r="CN69" s="52" t="str">
        <f t="shared" si="326"/>
        <v>-</v>
      </c>
      <c r="CO69" s="53" t="str">
        <f t="shared" si="327"/>
        <v>-</v>
      </c>
      <c r="CQ69" s="305" t="str">
        <f t="shared" si="126"/>
        <v>-</v>
      </c>
      <c r="CR69" s="305" t="str">
        <f t="shared" si="127"/>
        <v>-</v>
      </c>
      <c r="CS69" s="305" t="str">
        <f t="shared" si="128"/>
        <v>-</v>
      </c>
      <c r="CT69" s="305">
        <f t="shared" si="129"/>
        <v>41.13</v>
      </c>
      <c r="CU69" s="305" t="str">
        <f t="shared" si="130"/>
        <v>-</v>
      </c>
      <c r="CV69" s="305" t="str">
        <f t="shared" si="131"/>
        <v>-</v>
      </c>
      <c r="CX69" s="51" t="str">
        <f t="shared" si="208"/>
        <v>-</v>
      </c>
      <c r="CY69" s="52">
        <f t="shared" si="209"/>
        <v>39.93</v>
      </c>
      <c r="CZ69" s="53" t="str">
        <f t="shared" si="210"/>
        <v>-</v>
      </c>
      <c r="DA69" s="51" t="str">
        <f t="shared" si="211"/>
        <v>-</v>
      </c>
      <c r="DB69" s="52" t="str">
        <f t="shared" si="212"/>
        <v>-</v>
      </c>
      <c r="DC69" s="53" t="str">
        <f t="shared" si="213"/>
        <v>-</v>
      </c>
      <c r="DD69" s="57"/>
      <c r="DE69" s="106" t="str">
        <f t="shared" si="214"/>
        <v>-</v>
      </c>
      <c r="DF69" s="107" t="str">
        <f t="shared" si="215"/>
        <v>-</v>
      </c>
      <c r="DG69" s="107" t="str">
        <f t="shared" si="216"/>
        <v>-</v>
      </c>
      <c r="DH69" s="107" t="str">
        <f t="shared" si="217"/>
        <v>-</v>
      </c>
      <c r="DI69" s="107" t="str">
        <f t="shared" si="218"/>
        <v>-</v>
      </c>
      <c r="DJ69" s="107" t="str">
        <f t="shared" si="219"/>
        <v>-</v>
      </c>
      <c r="DK69" s="107" t="str">
        <f t="shared" si="220"/>
        <v>-</v>
      </c>
      <c r="DL69" s="107" t="str">
        <f t="shared" si="221"/>
        <v>-</v>
      </c>
      <c r="DM69" s="108" t="str">
        <f t="shared" si="222"/>
        <v>-</v>
      </c>
      <c r="DO69" s="106" t="str">
        <f t="shared" si="223"/>
        <v>-</v>
      </c>
      <c r="DP69" s="107" t="str">
        <f t="shared" si="224"/>
        <v>-</v>
      </c>
      <c r="DQ69" s="107" t="str">
        <f t="shared" si="225"/>
        <v>-</v>
      </c>
      <c r="DR69" s="107" t="str">
        <f t="shared" si="226"/>
        <v>-</v>
      </c>
      <c r="DS69" s="107" t="str">
        <f t="shared" si="227"/>
        <v>-</v>
      </c>
      <c r="DT69" s="107" t="str">
        <f t="shared" si="228"/>
        <v>-</v>
      </c>
      <c r="DU69" s="107" t="str">
        <f t="shared" si="229"/>
        <v>-</v>
      </c>
      <c r="DV69" s="107" t="str">
        <f t="shared" si="230"/>
        <v>-</v>
      </c>
      <c r="DW69" s="108" t="str">
        <f t="shared" si="231"/>
        <v>-</v>
      </c>
      <c r="DX69" s="109" t="str">
        <f t="shared" si="232"/>
        <v>-</v>
      </c>
      <c r="DY69" s="110" t="str">
        <f t="shared" si="233"/>
        <v>-</v>
      </c>
      <c r="DZ69" s="110" t="str">
        <f t="shared" si="234"/>
        <v>-</v>
      </c>
      <c r="EA69" s="110">
        <f t="shared" si="235"/>
        <v>41.13</v>
      </c>
      <c r="EB69" s="110" t="str">
        <f t="shared" si="236"/>
        <v>-</v>
      </c>
      <c r="EC69" s="110" t="str">
        <f t="shared" si="237"/>
        <v>-</v>
      </c>
      <c r="ED69" s="110" t="str">
        <f t="shared" si="238"/>
        <v>-</v>
      </c>
      <c r="EE69" s="110" t="str">
        <f t="shared" si="239"/>
        <v>-</v>
      </c>
      <c r="EF69" s="111" t="str">
        <f t="shared" si="240"/>
        <v>-</v>
      </c>
      <c r="EG69" s="109" t="str">
        <f t="shared" si="241"/>
        <v>-</v>
      </c>
      <c r="EH69" s="110" t="str">
        <f t="shared" si="242"/>
        <v>-</v>
      </c>
      <c r="EI69" s="110" t="str">
        <f t="shared" si="243"/>
        <v>-</v>
      </c>
      <c r="EJ69" s="110" t="str">
        <f t="shared" si="244"/>
        <v>-</v>
      </c>
      <c r="EK69" s="110" t="str">
        <f t="shared" si="245"/>
        <v>-</v>
      </c>
      <c r="EL69" s="110" t="str">
        <f t="shared" si="246"/>
        <v>-</v>
      </c>
      <c r="EM69" s="110" t="str">
        <f t="shared" si="247"/>
        <v>-</v>
      </c>
      <c r="EN69" s="110" t="str">
        <f t="shared" si="248"/>
        <v>-</v>
      </c>
      <c r="EO69" s="111" t="str">
        <f t="shared" si="249"/>
        <v>-</v>
      </c>
      <c r="EQ69" s="118">
        <f t="shared" si="250"/>
        <v>39.93</v>
      </c>
      <c r="ER69" s="119" t="str">
        <f t="shared" si="251"/>
        <v>-</v>
      </c>
      <c r="ES69" s="120" t="str">
        <f t="shared" si="252"/>
        <v>-</v>
      </c>
      <c r="ET69" s="90">
        <v>2</v>
      </c>
      <c r="EU69" s="118">
        <f t="shared" si="253"/>
        <v>2</v>
      </c>
      <c r="EV69" s="119" t="str">
        <f t="shared" si="254"/>
        <v>-</v>
      </c>
      <c r="EW69" s="120" t="str">
        <f t="shared" si="255"/>
        <v>-</v>
      </c>
    </row>
    <row r="70" spans="1:153" ht="15.75" thickBot="1" x14ac:dyDescent="0.3">
      <c r="A70" s="41"/>
      <c r="B70" s="171" t="s">
        <v>506</v>
      </c>
      <c r="C70" s="171" t="s">
        <v>508</v>
      </c>
      <c r="D70" s="42">
        <f>VLOOKUP(B70,'BASE DE DATOS'!$B$3:$E$106,2,FALSE)</f>
        <v>32.6</v>
      </c>
      <c r="E70" s="42">
        <f>VLOOKUP(B70,'BASE DE DATOS'!$B$3:$E$106,4,FALSE)</f>
        <v>1.2000000000000028</v>
      </c>
      <c r="F70" s="42">
        <f>VLOOKUP(C70,'BASE DE DATOS'!$B$3:$E$106,2,FALSE)</f>
        <v>32.380000000000003</v>
      </c>
      <c r="G70" s="42">
        <f>VLOOKUP(C70,'BASE DE DATOS'!$B$3:$E$106,4,FALSE)</f>
        <v>1.6500000000000021</v>
      </c>
      <c r="H70" s="43">
        <f t="shared" si="135"/>
        <v>1.4250000000000025</v>
      </c>
      <c r="I70" s="171">
        <v>31.48</v>
      </c>
      <c r="J70" s="44">
        <f t="shared" si="132"/>
        <v>31.48</v>
      </c>
      <c r="K70" s="40">
        <f t="shared" si="133"/>
        <v>29.89</v>
      </c>
      <c r="L70" s="40">
        <f t="shared" si="134"/>
        <v>30.29</v>
      </c>
      <c r="M70" s="44">
        <f t="shared" si="124"/>
        <v>200</v>
      </c>
      <c r="N70" s="40">
        <f t="shared" si="125"/>
        <v>31.48</v>
      </c>
      <c r="O70" s="171" t="s">
        <v>120</v>
      </c>
      <c r="P70" s="19">
        <v>187.6</v>
      </c>
      <c r="Q70" s="171" t="s">
        <v>122</v>
      </c>
      <c r="R70" s="171" t="s">
        <v>133</v>
      </c>
      <c r="S70" s="171" t="s">
        <v>148</v>
      </c>
      <c r="T70" s="171" t="s">
        <v>149</v>
      </c>
      <c r="V70" s="51" t="str">
        <f t="shared" si="256"/>
        <v>-</v>
      </c>
      <c r="W70" s="52" t="str">
        <f t="shared" si="257"/>
        <v>-</v>
      </c>
      <c r="X70" s="52" t="str">
        <f t="shared" si="258"/>
        <v>-</v>
      </c>
      <c r="Y70" s="52" t="str">
        <f t="shared" si="259"/>
        <v>-</v>
      </c>
      <c r="Z70" s="52" t="str">
        <f t="shared" si="260"/>
        <v>-</v>
      </c>
      <c r="AA70" s="52" t="str">
        <f t="shared" si="261"/>
        <v>-</v>
      </c>
      <c r="AB70" s="52" t="str">
        <f t="shared" si="262"/>
        <v>-</v>
      </c>
      <c r="AC70" s="52" t="str">
        <f t="shared" si="263"/>
        <v>-</v>
      </c>
      <c r="AD70" s="52" t="str">
        <f t="shared" si="264"/>
        <v>-</v>
      </c>
      <c r="AE70" s="52" t="str">
        <f t="shared" si="265"/>
        <v>-</v>
      </c>
      <c r="AF70" s="52" t="str">
        <f t="shared" si="266"/>
        <v>-</v>
      </c>
      <c r="AG70" s="52" t="str">
        <f t="shared" si="267"/>
        <v>-</v>
      </c>
      <c r="AH70" s="52" t="str">
        <f t="shared" si="268"/>
        <v>-</v>
      </c>
      <c r="AI70" s="52" t="str">
        <f t="shared" si="269"/>
        <v>-</v>
      </c>
      <c r="AJ70" s="52" t="str">
        <f t="shared" si="270"/>
        <v>-</v>
      </c>
      <c r="AK70" s="52" t="str">
        <f t="shared" si="271"/>
        <v>-</v>
      </c>
      <c r="AL70" s="52" t="str">
        <f t="shared" si="272"/>
        <v>-</v>
      </c>
      <c r="AM70" s="53" t="str">
        <f t="shared" si="273"/>
        <v>-</v>
      </c>
      <c r="AN70" s="51" t="str">
        <f t="shared" si="274"/>
        <v>-</v>
      </c>
      <c r="AO70" s="52" t="str">
        <f t="shared" si="275"/>
        <v>-</v>
      </c>
      <c r="AP70" s="52" t="str">
        <f t="shared" si="276"/>
        <v>-</v>
      </c>
      <c r="AQ70" s="52" t="str">
        <f t="shared" si="277"/>
        <v>-</v>
      </c>
      <c r="AR70" s="52" t="str">
        <f t="shared" si="278"/>
        <v>-</v>
      </c>
      <c r="AS70" s="52" t="str">
        <f t="shared" si="279"/>
        <v>-</v>
      </c>
      <c r="AT70" s="52" t="str">
        <f t="shared" si="280"/>
        <v>-</v>
      </c>
      <c r="AU70" s="52" t="str">
        <f t="shared" si="281"/>
        <v>-</v>
      </c>
      <c r="AV70" s="52" t="str">
        <f t="shared" si="282"/>
        <v>-</v>
      </c>
      <c r="AW70" s="52" t="str">
        <f t="shared" si="283"/>
        <v>-</v>
      </c>
      <c r="AX70" s="52" t="str">
        <f t="shared" si="284"/>
        <v>-</v>
      </c>
      <c r="AY70" s="52" t="str">
        <f t="shared" si="285"/>
        <v>-</v>
      </c>
      <c r="AZ70" s="52" t="str">
        <f t="shared" si="286"/>
        <v>-</v>
      </c>
      <c r="BA70" s="52" t="str">
        <f t="shared" si="287"/>
        <v>-</v>
      </c>
      <c r="BB70" s="52" t="str">
        <f t="shared" si="288"/>
        <v>-</v>
      </c>
      <c r="BC70" s="52" t="str">
        <f t="shared" si="289"/>
        <v>-</v>
      </c>
      <c r="BD70" s="52" t="str">
        <f t="shared" si="290"/>
        <v>-</v>
      </c>
      <c r="BE70" s="53" t="str">
        <f t="shared" si="291"/>
        <v>-</v>
      </c>
      <c r="BF70" s="51" t="str">
        <f t="shared" si="292"/>
        <v>-</v>
      </c>
      <c r="BG70" s="52" t="str">
        <f t="shared" si="293"/>
        <v>-</v>
      </c>
      <c r="BH70" s="52">
        <f t="shared" si="294"/>
        <v>29.89</v>
      </c>
      <c r="BI70" s="52" t="str">
        <f t="shared" si="295"/>
        <v>-</v>
      </c>
      <c r="BJ70" s="52" t="str">
        <f t="shared" si="296"/>
        <v>-</v>
      </c>
      <c r="BK70" s="52" t="str">
        <f t="shared" si="297"/>
        <v>-</v>
      </c>
      <c r="BL70" s="52" t="str">
        <f t="shared" si="298"/>
        <v>-</v>
      </c>
      <c r="BM70" s="52" t="str">
        <f t="shared" si="299"/>
        <v>-</v>
      </c>
      <c r="BN70" s="52" t="str">
        <f t="shared" si="300"/>
        <v>-</v>
      </c>
      <c r="BO70" s="52" t="str">
        <f t="shared" si="301"/>
        <v>-</v>
      </c>
      <c r="BP70" s="52" t="str">
        <f t="shared" si="302"/>
        <v>-</v>
      </c>
      <c r="BQ70" s="52" t="str">
        <f t="shared" si="303"/>
        <v>-</v>
      </c>
      <c r="BR70" s="52" t="str">
        <f t="shared" si="304"/>
        <v>-</v>
      </c>
      <c r="BS70" s="52" t="str">
        <f t="shared" si="305"/>
        <v>-</v>
      </c>
      <c r="BT70" s="52" t="str">
        <f t="shared" si="306"/>
        <v>-</v>
      </c>
      <c r="BU70" s="52" t="str">
        <f t="shared" si="307"/>
        <v>-</v>
      </c>
      <c r="BV70" s="52" t="str">
        <f t="shared" si="308"/>
        <v>-</v>
      </c>
      <c r="BW70" s="53" t="str">
        <f t="shared" si="309"/>
        <v>-</v>
      </c>
      <c r="BX70" s="51" t="str">
        <f t="shared" si="310"/>
        <v>-</v>
      </c>
      <c r="BY70" s="52" t="str">
        <f t="shared" si="311"/>
        <v>-</v>
      </c>
      <c r="BZ70" s="52" t="str">
        <f t="shared" si="312"/>
        <v>-</v>
      </c>
      <c r="CA70" s="52" t="str">
        <f t="shared" si="313"/>
        <v>-</v>
      </c>
      <c r="CB70" s="52" t="str">
        <f t="shared" si="314"/>
        <v>-</v>
      </c>
      <c r="CC70" s="52" t="str">
        <f t="shared" si="315"/>
        <v>-</v>
      </c>
      <c r="CD70" s="52" t="str">
        <f t="shared" si="316"/>
        <v>-</v>
      </c>
      <c r="CE70" s="52" t="str">
        <f t="shared" si="317"/>
        <v>-</v>
      </c>
      <c r="CF70" s="52" t="str">
        <f t="shared" si="318"/>
        <v>-</v>
      </c>
      <c r="CG70" s="52" t="str">
        <f t="shared" si="319"/>
        <v>-</v>
      </c>
      <c r="CH70" s="52" t="str">
        <f t="shared" si="320"/>
        <v>-</v>
      </c>
      <c r="CI70" s="52" t="str">
        <f t="shared" si="321"/>
        <v>-</v>
      </c>
      <c r="CJ70" s="52" t="str">
        <f t="shared" si="322"/>
        <v>-</v>
      </c>
      <c r="CK70" s="52" t="str">
        <f t="shared" si="323"/>
        <v>-</v>
      </c>
      <c r="CL70" s="52" t="str">
        <f t="shared" si="324"/>
        <v>-</v>
      </c>
      <c r="CM70" s="52" t="str">
        <f t="shared" si="325"/>
        <v>-</v>
      </c>
      <c r="CN70" s="52" t="str">
        <f t="shared" si="326"/>
        <v>-</v>
      </c>
      <c r="CO70" s="53" t="str">
        <f t="shared" si="327"/>
        <v>-</v>
      </c>
      <c r="CQ70" s="305" t="str">
        <f t="shared" si="126"/>
        <v>-</v>
      </c>
      <c r="CR70" s="305" t="str">
        <f t="shared" si="127"/>
        <v>-</v>
      </c>
      <c r="CS70" s="305" t="str">
        <f t="shared" si="128"/>
        <v>-</v>
      </c>
      <c r="CT70" s="305">
        <f t="shared" si="129"/>
        <v>31.48</v>
      </c>
      <c r="CU70" s="305" t="str">
        <f t="shared" si="130"/>
        <v>-</v>
      </c>
      <c r="CV70" s="305" t="str">
        <f t="shared" si="131"/>
        <v>-</v>
      </c>
      <c r="CX70" s="51">
        <f t="shared" ref="CX70:CX94" si="328">IF(AND($Q70="R",$M70&gt;=200,$M70&lt;=250)=TRUE,$L70,"-")</f>
        <v>30.29</v>
      </c>
      <c r="CY70" s="52" t="str">
        <f t="shared" ref="CY70:CY94" si="329">IF(AND($Q70="p",$M70&gt;=200,$M70&lt;=250)=TRUE,$L70,"-")</f>
        <v>-</v>
      </c>
      <c r="CZ70" s="53" t="str">
        <f t="shared" ref="CZ70:CZ94" si="330">IF(AND($Q70="E",$M70&gt;=200,$M70&lt;=250)=TRUE,$L70,"-")</f>
        <v>-</v>
      </c>
      <c r="DA70" s="51" t="str">
        <f t="shared" ref="DA70:DA94" si="331">IF(AND($Q70="R",$M70&gt;=300,$M70&lt;=350)=TRUE,$L70,"-")</f>
        <v>-</v>
      </c>
      <c r="DB70" s="52" t="str">
        <f t="shared" ref="DB70:DB94" si="332">IF(AND($Q70="P",$M70&gt;=300,$M70&lt;=350)=TRUE,$L70,"-")</f>
        <v>-</v>
      </c>
      <c r="DC70" s="53" t="str">
        <f t="shared" ref="DC70:DC94" si="333">IF(AND($Q70="E",$M70&gt;=300,$M70&lt;=350)=TRUE,$L70,"-")</f>
        <v>-</v>
      </c>
      <c r="DD70" s="57"/>
      <c r="DE70" s="106" t="str">
        <f t="shared" ref="DE70:DE94" si="334">IF(AND($Q70="R",$M70=200,$O70="CSN")=TRUE,$L70,"-")</f>
        <v>-</v>
      </c>
      <c r="DF70" s="107" t="str">
        <f t="shared" ref="DF70:DF94" si="335">IF(AND($Q70="R",$M70=250,$O70="CSN")=TRUE,$L70,"-")</f>
        <v>-</v>
      </c>
      <c r="DG70" s="107" t="str">
        <f t="shared" ref="DG70:DG94" si="336">IF(AND($Q70="R",$M70=315,$O70="CSN")=TRUE,$L70,"-")</f>
        <v>-</v>
      </c>
      <c r="DH70" s="107">
        <f t="shared" ref="DH70:DH94" si="337">IF(AND($Q70="R",$M70=200,$O70="HDPE")=TRUE,$L70,"-")</f>
        <v>30.29</v>
      </c>
      <c r="DI70" s="107" t="str">
        <f t="shared" ref="DI70:DI94" si="338">IF(AND($Q70="R",$M70=250,$O70="HDPE")=TRUE,$L70,"-")</f>
        <v>-</v>
      </c>
      <c r="DJ70" s="107" t="str">
        <f t="shared" ref="DJ70:DJ94" si="339">IF(AND($Q70="R",$M70=315,$O70="HDPE")=TRUE,$L70,"-")</f>
        <v>-</v>
      </c>
      <c r="DK70" s="107" t="str">
        <f t="shared" ref="DK70:DK94" si="340">IF(AND($Q70="R",$M70=200,$O70="PVC")=TRUE,$L70,"-")</f>
        <v>-</v>
      </c>
      <c r="DL70" s="107" t="str">
        <f t="shared" ref="DL70:DL94" si="341">IF(AND($Q70="R",$M70=250,$O70="PVC")=TRUE,$L70,"-")</f>
        <v>-</v>
      </c>
      <c r="DM70" s="108" t="str">
        <f t="shared" ref="DM70:DM94" si="342">IF(AND($Q70="R",$M70=315,$O70="PVC")=TRUE,$L70,"-")</f>
        <v>-</v>
      </c>
      <c r="DO70" s="106" t="str">
        <f t="shared" ref="DO70:DO94" si="343">IF(AND($Q70="R",$M70=200,$O70="CSN")=TRUE,$L70,"-")</f>
        <v>-</v>
      </c>
      <c r="DP70" s="107" t="str">
        <f t="shared" ref="DP70:DP94" si="344">IF(AND($Q70="R",$M70=250,$O70="CSN")=TRUE,$L70,"-")</f>
        <v>-</v>
      </c>
      <c r="DQ70" s="107" t="str">
        <f t="shared" ref="DQ70:DQ94" si="345">IF(AND($Q70="R",$M70=315,$O70="CSN")=TRUE,$L70,"-")</f>
        <v>-</v>
      </c>
      <c r="DR70" s="107">
        <f t="shared" ref="DR70:DR94" si="346">IF(AND($Q70="R",$M70=200,$O70="HDPE")=TRUE,$L70,"-")</f>
        <v>30.29</v>
      </c>
      <c r="DS70" s="107" t="str">
        <f t="shared" ref="DS70:DS94" si="347">IF(AND($Q70="R",$M70=250,$O70="HDPE")=TRUE,$L70,"-")</f>
        <v>-</v>
      </c>
      <c r="DT70" s="107" t="str">
        <f t="shared" ref="DT70:DT94" si="348">IF(AND($Q70="R",$M70=315,$O70="HDPE")=TRUE,$L70,"-")</f>
        <v>-</v>
      </c>
      <c r="DU70" s="107" t="str">
        <f t="shared" ref="DU70:DU94" si="349">IF(AND($Q70="R",$M70=200,$O70="PVC")=TRUE,$L70,"-")</f>
        <v>-</v>
      </c>
      <c r="DV70" s="107" t="str">
        <f t="shared" ref="DV70:DV94" si="350">IF(AND($Q70="R",$M70=250,$O70="PVC")=TRUE,$L70,"-")</f>
        <v>-</v>
      </c>
      <c r="DW70" s="108" t="str">
        <f t="shared" ref="DW70:DW94" si="351">IF(AND($Q70="R",$M70=315,$O70="PVC")=TRUE,$L70,"-")</f>
        <v>-</v>
      </c>
      <c r="DX70" s="109" t="str">
        <f t="shared" ref="DX70:DX94" si="352">IF(AND($Q70="P",$M70=200,$O70="CSN")=TRUE,$I70,"-")</f>
        <v>-</v>
      </c>
      <c r="DY70" s="110" t="str">
        <f t="shared" ref="DY70:DY94" si="353">IF(AND($Q70="P",$M70=250,$O70="CSN")=TRUE,$I70,"-")</f>
        <v>-</v>
      </c>
      <c r="DZ70" s="110" t="str">
        <f t="shared" ref="DZ70:DZ94" si="354">IF(AND($Q70="P",$M70=315,$O70="CSN")=TRUE,$I70,"-")</f>
        <v>-</v>
      </c>
      <c r="EA70" s="110" t="str">
        <f t="shared" ref="EA70:EA94" si="355">IF(AND($Q70="P",$M70=200,$O70="HDPE")=TRUE,$I70,"-")</f>
        <v>-</v>
      </c>
      <c r="EB70" s="110" t="str">
        <f t="shared" ref="EB70:EB94" si="356">IF(AND($Q70="P",$M70=250,$O70="HDPE")=TRUE,$I70,"-")</f>
        <v>-</v>
      </c>
      <c r="EC70" s="110" t="str">
        <f t="shared" ref="EC70:EC94" si="357">IF(AND($Q70="P",$M70=315,$O70="HDPE")=TRUE,$I70,"-")</f>
        <v>-</v>
      </c>
      <c r="ED70" s="110" t="str">
        <f t="shared" ref="ED70:ED94" si="358">IF(AND($Q70="P",$M70=200,$O70="PVC")=TRUE,$I70,"-")</f>
        <v>-</v>
      </c>
      <c r="EE70" s="110" t="str">
        <f t="shared" ref="EE70:EE94" si="359">IF(AND($Q70="P",$M70=250,$O70="PVC")=TRUE,$I70,"-")</f>
        <v>-</v>
      </c>
      <c r="EF70" s="111" t="str">
        <f t="shared" ref="EF70:EF94" si="360">IF(AND($Q70="P",$M70=315,$O70="PVC")=TRUE,$I70,"-")</f>
        <v>-</v>
      </c>
      <c r="EG70" s="109" t="str">
        <f t="shared" ref="EG70:EG94" si="361">IF(AND($Q70="E",$M70=200,$O70="CSN")=TRUE,$I70,"-")</f>
        <v>-</v>
      </c>
      <c r="EH70" s="110" t="str">
        <f t="shared" ref="EH70:EH94" si="362">IF(AND($Q70="E",$M70=250,$O70="CSN")=TRUE,$I70,"-")</f>
        <v>-</v>
      </c>
      <c r="EI70" s="110" t="str">
        <f t="shared" ref="EI70:EI94" si="363">IF(AND($Q70="E",$M70=315,$O70="CSN")=TRUE,$I70,"-")</f>
        <v>-</v>
      </c>
      <c r="EJ70" s="110" t="str">
        <f t="shared" ref="EJ70:EJ94" si="364">IF(AND($Q70="E",$M70=200,$O70="HDPE")=TRUE,$I70,"-")</f>
        <v>-</v>
      </c>
      <c r="EK70" s="110" t="str">
        <f t="shared" ref="EK70:EK94" si="365">IF(AND($Q70="E",$M70=250,$O70="HDPE")=TRUE,$I70,"-")</f>
        <v>-</v>
      </c>
      <c r="EL70" s="110" t="str">
        <f t="shared" ref="EL70:EL94" si="366">IF(AND($Q70="E",$M70=315,$O70="HDPE")=TRUE,$I70,"-")</f>
        <v>-</v>
      </c>
      <c r="EM70" s="110" t="str">
        <f t="shared" ref="EM70:EM94" si="367">IF(AND($Q70="E",$M70=200,$O70="PVC")=TRUE,$I70,"-")</f>
        <v>-</v>
      </c>
      <c r="EN70" s="110" t="str">
        <f t="shared" ref="EN70:EN94" si="368">IF(AND($Q70="E",$M70=250,$O70="PVC")=TRUE,$I70,"-")</f>
        <v>-</v>
      </c>
      <c r="EO70" s="111" t="str">
        <f t="shared" ref="EO70:EO94" si="369">IF(AND($Q70="E",$M70=315,$O70="PVC")=TRUE,$I70,"-")</f>
        <v>-</v>
      </c>
      <c r="EQ70" s="118">
        <f t="shared" ref="EQ70:EQ94" si="370">IF($Q70="E","-",IF($M70=200,$L70,"-"))</f>
        <v>30.29</v>
      </c>
      <c r="ER70" s="119" t="str">
        <f t="shared" ref="ER70:ER94" si="371">IF($Q70="E","-",IF($M70=250,$L70,"-"))</f>
        <v>-</v>
      </c>
      <c r="ES70" s="120" t="str">
        <f t="shared" ref="ES70:ES94" si="372">IF($Q70="E","-",IF($M70=315,$L70,"-"))</f>
        <v>-</v>
      </c>
      <c r="ET70" s="90">
        <v>2</v>
      </c>
      <c r="EU70" s="118">
        <f t="shared" ref="EU70:EU94" si="373">IF($Q70="E","-",IF($M70=200,$ET70,"-"))</f>
        <v>2</v>
      </c>
      <c r="EV70" s="119" t="str">
        <f t="shared" ref="EV70:EV94" si="374">IF($Q70="E","-",IF($M70=250,$ET70,"-"))</f>
        <v>-</v>
      </c>
      <c r="EW70" s="120" t="str">
        <f t="shared" ref="EW70:EW94" si="375">IF($Q70="E","-",IF($M70=315,$ET70,"-"))</f>
        <v>-</v>
      </c>
    </row>
    <row r="71" spans="1:153" ht="15.75" thickBot="1" x14ac:dyDescent="0.3">
      <c r="A71" s="41"/>
      <c r="B71" s="171" t="s">
        <v>507</v>
      </c>
      <c r="C71" s="171" t="s">
        <v>508</v>
      </c>
      <c r="D71" s="42">
        <f>VLOOKUP(B71,'BASE DE DATOS'!$B$3:$E$106,2,FALSE)</f>
        <v>32.22</v>
      </c>
      <c r="E71" s="42">
        <f>VLOOKUP(B71,'BASE DE DATOS'!$B$3:$E$106,4,FALSE)</f>
        <v>1.1999999999999993</v>
      </c>
      <c r="F71" s="42">
        <f>VLOOKUP(C71,'BASE DE DATOS'!$B$3:$E$106,2,FALSE)</f>
        <v>32.380000000000003</v>
      </c>
      <c r="G71" s="42">
        <f>VLOOKUP(C71,'BASE DE DATOS'!$B$3:$E$106,4,FALSE)</f>
        <v>1.6500000000000021</v>
      </c>
      <c r="H71" s="43">
        <f t="shared" si="135"/>
        <v>1.4250000000000007</v>
      </c>
      <c r="I71" s="171">
        <v>37.659999999999997</v>
      </c>
      <c r="J71" s="44">
        <f t="shared" si="132"/>
        <v>37.659999999999997</v>
      </c>
      <c r="K71" s="40">
        <f t="shared" si="133"/>
        <v>36.06</v>
      </c>
      <c r="L71" s="40">
        <f t="shared" si="134"/>
        <v>36.46</v>
      </c>
      <c r="M71" s="44">
        <f t="shared" ref="M71:M94" si="376">IF(OR(P71=192.2,P71=187.6,P71=203.2)=TRUE,200,IF(P71=234.6,250,IF(P71=295.6,315,"-")))</f>
        <v>200</v>
      </c>
      <c r="N71" s="40">
        <f t="shared" ref="N71:N94" si="377">ROUND((I71^2+(D71-F71)^2)^0.5,2)</f>
        <v>37.659999999999997</v>
      </c>
      <c r="O71" s="171" t="s">
        <v>120</v>
      </c>
      <c r="P71" s="19">
        <v>187.6</v>
      </c>
      <c r="Q71" s="171" t="s">
        <v>122</v>
      </c>
      <c r="R71" s="171" t="s">
        <v>133</v>
      </c>
      <c r="S71" s="171" t="s">
        <v>148</v>
      </c>
      <c r="T71" s="171" t="s">
        <v>149</v>
      </c>
      <c r="V71" s="51" t="str">
        <f t="shared" si="256"/>
        <v>-</v>
      </c>
      <c r="W71" s="52" t="str">
        <f t="shared" si="257"/>
        <v>-</v>
      </c>
      <c r="X71" s="52" t="str">
        <f t="shared" si="258"/>
        <v>-</v>
      </c>
      <c r="Y71" s="52" t="str">
        <f t="shared" si="259"/>
        <v>-</v>
      </c>
      <c r="Z71" s="52" t="str">
        <f t="shared" si="260"/>
        <v>-</v>
      </c>
      <c r="AA71" s="52" t="str">
        <f t="shared" si="261"/>
        <v>-</v>
      </c>
      <c r="AB71" s="52" t="str">
        <f t="shared" si="262"/>
        <v>-</v>
      </c>
      <c r="AC71" s="52" t="str">
        <f t="shared" si="263"/>
        <v>-</v>
      </c>
      <c r="AD71" s="52" t="str">
        <f t="shared" si="264"/>
        <v>-</v>
      </c>
      <c r="AE71" s="52" t="str">
        <f t="shared" si="265"/>
        <v>-</v>
      </c>
      <c r="AF71" s="52" t="str">
        <f t="shared" si="266"/>
        <v>-</v>
      </c>
      <c r="AG71" s="52" t="str">
        <f t="shared" si="267"/>
        <v>-</v>
      </c>
      <c r="AH71" s="52" t="str">
        <f t="shared" si="268"/>
        <v>-</v>
      </c>
      <c r="AI71" s="52" t="str">
        <f t="shared" si="269"/>
        <v>-</v>
      </c>
      <c r="AJ71" s="52" t="str">
        <f t="shared" si="270"/>
        <v>-</v>
      </c>
      <c r="AK71" s="52" t="str">
        <f t="shared" si="271"/>
        <v>-</v>
      </c>
      <c r="AL71" s="52" t="str">
        <f t="shared" si="272"/>
        <v>-</v>
      </c>
      <c r="AM71" s="53" t="str">
        <f t="shared" si="273"/>
        <v>-</v>
      </c>
      <c r="AN71" s="51" t="str">
        <f t="shared" si="274"/>
        <v>-</v>
      </c>
      <c r="AO71" s="52" t="str">
        <f t="shared" si="275"/>
        <v>-</v>
      </c>
      <c r="AP71" s="52" t="str">
        <f t="shared" si="276"/>
        <v>-</v>
      </c>
      <c r="AQ71" s="52" t="str">
        <f t="shared" si="277"/>
        <v>-</v>
      </c>
      <c r="AR71" s="52" t="str">
        <f t="shared" si="278"/>
        <v>-</v>
      </c>
      <c r="AS71" s="52" t="str">
        <f t="shared" si="279"/>
        <v>-</v>
      </c>
      <c r="AT71" s="52" t="str">
        <f t="shared" si="280"/>
        <v>-</v>
      </c>
      <c r="AU71" s="52" t="str">
        <f t="shared" si="281"/>
        <v>-</v>
      </c>
      <c r="AV71" s="52" t="str">
        <f t="shared" si="282"/>
        <v>-</v>
      </c>
      <c r="AW71" s="52" t="str">
        <f t="shared" si="283"/>
        <v>-</v>
      </c>
      <c r="AX71" s="52" t="str">
        <f t="shared" si="284"/>
        <v>-</v>
      </c>
      <c r="AY71" s="52" t="str">
        <f t="shared" si="285"/>
        <v>-</v>
      </c>
      <c r="AZ71" s="52" t="str">
        <f t="shared" si="286"/>
        <v>-</v>
      </c>
      <c r="BA71" s="52" t="str">
        <f t="shared" si="287"/>
        <v>-</v>
      </c>
      <c r="BB71" s="52" t="str">
        <f t="shared" si="288"/>
        <v>-</v>
      </c>
      <c r="BC71" s="52" t="str">
        <f t="shared" si="289"/>
        <v>-</v>
      </c>
      <c r="BD71" s="52" t="str">
        <f t="shared" si="290"/>
        <v>-</v>
      </c>
      <c r="BE71" s="53" t="str">
        <f t="shared" si="291"/>
        <v>-</v>
      </c>
      <c r="BF71" s="51" t="str">
        <f t="shared" si="292"/>
        <v>-</v>
      </c>
      <c r="BG71" s="52" t="str">
        <f t="shared" si="293"/>
        <v>-</v>
      </c>
      <c r="BH71" s="52">
        <f t="shared" si="294"/>
        <v>36.06</v>
      </c>
      <c r="BI71" s="52" t="str">
        <f t="shared" si="295"/>
        <v>-</v>
      </c>
      <c r="BJ71" s="52" t="str">
        <f t="shared" si="296"/>
        <v>-</v>
      </c>
      <c r="BK71" s="52" t="str">
        <f t="shared" si="297"/>
        <v>-</v>
      </c>
      <c r="BL71" s="52" t="str">
        <f t="shared" si="298"/>
        <v>-</v>
      </c>
      <c r="BM71" s="52" t="str">
        <f t="shared" si="299"/>
        <v>-</v>
      </c>
      <c r="BN71" s="52" t="str">
        <f t="shared" si="300"/>
        <v>-</v>
      </c>
      <c r="BO71" s="52" t="str">
        <f t="shared" si="301"/>
        <v>-</v>
      </c>
      <c r="BP71" s="52" t="str">
        <f t="shared" si="302"/>
        <v>-</v>
      </c>
      <c r="BQ71" s="52" t="str">
        <f t="shared" si="303"/>
        <v>-</v>
      </c>
      <c r="BR71" s="52" t="str">
        <f t="shared" si="304"/>
        <v>-</v>
      </c>
      <c r="BS71" s="52" t="str">
        <f t="shared" si="305"/>
        <v>-</v>
      </c>
      <c r="BT71" s="52" t="str">
        <f t="shared" si="306"/>
        <v>-</v>
      </c>
      <c r="BU71" s="52" t="str">
        <f t="shared" si="307"/>
        <v>-</v>
      </c>
      <c r="BV71" s="52" t="str">
        <f t="shared" si="308"/>
        <v>-</v>
      </c>
      <c r="BW71" s="53" t="str">
        <f t="shared" si="309"/>
        <v>-</v>
      </c>
      <c r="BX71" s="51" t="str">
        <f t="shared" si="310"/>
        <v>-</v>
      </c>
      <c r="BY71" s="52" t="str">
        <f t="shared" si="311"/>
        <v>-</v>
      </c>
      <c r="BZ71" s="52" t="str">
        <f t="shared" si="312"/>
        <v>-</v>
      </c>
      <c r="CA71" s="52" t="str">
        <f t="shared" si="313"/>
        <v>-</v>
      </c>
      <c r="CB71" s="52" t="str">
        <f t="shared" si="314"/>
        <v>-</v>
      </c>
      <c r="CC71" s="52" t="str">
        <f t="shared" si="315"/>
        <v>-</v>
      </c>
      <c r="CD71" s="52" t="str">
        <f t="shared" si="316"/>
        <v>-</v>
      </c>
      <c r="CE71" s="52" t="str">
        <f t="shared" si="317"/>
        <v>-</v>
      </c>
      <c r="CF71" s="52" t="str">
        <f t="shared" si="318"/>
        <v>-</v>
      </c>
      <c r="CG71" s="52" t="str">
        <f t="shared" si="319"/>
        <v>-</v>
      </c>
      <c r="CH71" s="52" t="str">
        <f t="shared" si="320"/>
        <v>-</v>
      </c>
      <c r="CI71" s="52" t="str">
        <f t="shared" si="321"/>
        <v>-</v>
      </c>
      <c r="CJ71" s="52" t="str">
        <f t="shared" si="322"/>
        <v>-</v>
      </c>
      <c r="CK71" s="52" t="str">
        <f t="shared" si="323"/>
        <v>-</v>
      </c>
      <c r="CL71" s="52" t="str">
        <f t="shared" si="324"/>
        <v>-</v>
      </c>
      <c r="CM71" s="52" t="str">
        <f t="shared" si="325"/>
        <v>-</v>
      </c>
      <c r="CN71" s="52" t="str">
        <f t="shared" si="326"/>
        <v>-</v>
      </c>
      <c r="CO71" s="53" t="str">
        <f t="shared" si="327"/>
        <v>-</v>
      </c>
      <c r="CQ71" s="305" t="str">
        <f t="shared" ref="CQ71:CQ94" si="378">IF($S71="R",$N71,"-")</f>
        <v>-</v>
      </c>
      <c r="CR71" s="305" t="str">
        <f t="shared" ref="CR71:CR94" si="379">IF($S71="F",$N71,"-")</f>
        <v>-</v>
      </c>
      <c r="CS71" s="305" t="str">
        <f t="shared" ref="CS71:CS94" si="380">IF($S71="M",$N71,"-")</f>
        <v>-</v>
      </c>
      <c r="CT71" s="305">
        <f t="shared" ref="CT71:CT94" si="381">IF($S71="V",$N71,"-")</f>
        <v>37.659999999999997</v>
      </c>
      <c r="CU71" s="305" t="str">
        <f t="shared" ref="CU71:CU94" si="382">IF($S71="G",$N71,"-")</f>
        <v>-</v>
      </c>
      <c r="CV71" s="305" t="str">
        <f t="shared" ref="CV71:CV94" si="383">IF($S71="A",$N71,"-")</f>
        <v>-</v>
      </c>
      <c r="CX71" s="51">
        <f t="shared" si="328"/>
        <v>36.46</v>
      </c>
      <c r="CY71" s="52" t="str">
        <f t="shared" si="329"/>
        <v>-</v>
      </c>
      <c r="CZ71" s="53" t="str">
        <f t="shared" si="330"/>
        <v>-</v>
      </c>
      <c r="DA71" s="51" t="str">
        <f t="shared" si="331"/>
        <v>-</v>
      </c>
      <c r="DB71" s="52" t="str">
        <f t="shared" si="332"/>
        <v>-</v>
      </c>
      <c r="DC71" s="53" t="str">
        <f t="shared" si="333"/>
        <v>-</v>
      </c>
      <c r="DD71" s="57"/>
      <c r="DE71" s="106" t="str">
        <f t="shared" si="334"/>
        <v>-</v>
      </c>
      <c r="DF71" s="107" t="str">
        <f t="shared" si="335"/>
        <v>-</v>
      </c>
      <c r="DG71" s="107" t="str">
        <f t="shared" si="336"/>
        <v>-</v>
      </c>
      <c r="DH71" s="107">
        <f t="shared" si="337"/>
        <v>36.46</v>
      </c>
      <c r="DI71" s="107" t="str">
        <f t="shared" si="338"/>
        <v>-</v>
      </c>
      <c r="DJ71" s="107" t="str">
        <f t="shared" si="339"/>
        <v>-</v>
      </c>
      <c r="DK71" s="107" t="str">
        <f t="shared" si="340"/>
        <v>-</v>
      </c>
      <c r="DL71" s="107" t="str">
        <f t="shared" si="341"/>
        <v>-</v>
      </c>
      <c r="DM71" s="108" t="str">
        <f t="shared" si="342"/>
        <v>-</v>
      </c>
      <c r="DO71" s="106" t="str">
        <f t="shared" si="343"/>
        <v>-</v>
      </c>
      <c r="DP71" s="107" t="str">
        <f t="shared" si="344"/>
        <v>-</v>
      </c>
      <c r="DQ71" s="107" t="str">
        <f t="shared" si="345"/>
        <v>-</v>
      </c>
      <c r="DR71" s="107">
        <f t="shared" si="346"/>
        <v>36.46</v>
      </c>
      <c r="DS71" s="107" t="str">
        <f t="shared" si="347"/>
        <v>-</v>
      </c>
      <c r="DT71" s="107" t="str">
        <f t="shared" si="348"/>
        <v>-</v>
      </c>
      <c r="DU71" s="107" t="str">
        <f t="shared" si="349"/>
        <v>-</v>
      </c>
      <c r="DV71" s="107" t="str">
        <f t="shared" si="350"/>
        <v>-</v>
      </c>
      <c r="DW71" s="108" t="str">
        <f t="shared" si="351"/>
        <v>-</v>
      </c>
      <c r="DX71" s="109" t="str">
        <f t="shared" si="352"/>
        <v>-</v>
      </c>
      <c r="DY71" s="110" t="str">
        <f t="shared" si="353"/>
        <v>-</v>
      </c>
      <c r="DZ71" s="110" t="str">
        <f t="shared" si="354"/>
        <v>-</v>
      </c>
      <c r="EA71" s="110" t="str">
        <f t="shared" si="355"/>
        <v>-</v>
      </c>
      <c r="EB71" s="110" t="str">
        <f t="shared" si="356"/>
        <v>-</v>
      </c>
      <c r="EC71" s="110" t="str">
        <f t="shared" si="357"/>
        <v>-</v>
      </c>
      <c r="ED71" s="110" t="str">
        <f t="shared" si="358"/>
        <v>-</v>
      </c>
      <c r="EE71" s="110" t="str">
        <f t="shared" si="359"/>
        <v>-</v>
      </c>
      <c r="EF71" s="111" t="str">
        <f t="shared" si="360"/>
        <v>-</v>
      </c>
      <c r="EG71" s="109" t="str">
        <f t="shared" si="361"/>
        <v>-</v>
      </c>
      <c r="EH71" s="110" t="str">
        <f t="shared" si="362"/>
        <v>-</v>
      </c>
      <c r="EI71" s="110" t="str">
        <f t="shared" si="363"/>
        <v>-</v>
      </c>
      <c r="EJ71" s="110" t="str">
        <f t="shared" si="364"/>
        <v>-</v>
      </c>
      <c r="EK71" s="110" t="str">
        <f t="shared" si="365"/>
        <v>-</v>
      </c>
      <c r="EL71" s="110" t="str">
        <f t="shared" si="366"/>
        <v>-</v>
      </c>
      <c r="EM71" s="110" t="str">
        <f t="shared" si="367"/>
        <v>-</v>
      </c>
      <c r="EN71" s="110" t="str">
        <f t="shared" si="368"/>
        <v>-</v>
      </c>
      <c r="EO71" s="111" t="str">
        <f t="shared" si="369"/>
        <v>-</v>
      </c>
      <c r="EQ71" s="118">
        <f t="shared" si="370"/>
        <v>36.46</v>
      </c>
      <c r="ER71" s="119" t="str">
        <f t="shared" si="371"/>
        <v>-</v>
      </c>
      <c r="ES71" s="120" t="str">
        <f t="shared" si="372"/>
        <v>-</v>
      </c>
      <c r="ET71" s="90">
        <v>2</v>
      </c>
      <c r="EU71" s="118">
        <f t="shared" si="373"/>
        <v>2</v>
      </c>
      <c r="EV71" s="119" t="str">
        <f t="shared" si="374"/>
        <v>-</v>
      </c>
      <c r="EW71" s="120" t="str">
        <f t="shared" si="375"/>
        <v>-</v>
      </c>
    </row>
    <row r="72" spans="1:153" ht="15.75" thickBot="1" x14ac:dyDescent="0.3">
      <c r="A72" s="44"/>
      <c r="B72" s="171" t="s">
        <v>508</v>
      </c>
      <c r="C72" s="171" t="s">
        <v>509</v>
      </c>
      <c r="D72" s="38">
        <f>VLOOKUP(B72,'BASE DE DATOS'!$B$3:$E$106,2,FALSE)</f>
        <v>32.380000000000003</v>
      </c>
      <c r="E72" s="38">
        <f>VLOOKUP(B72,'BASE DE DATOS'!$B$3:$E$106,4,FALSE)</f>
        <v>1.6500000000000021</v>
      </c>
      <c r="F72" s="38">
        <f>VLOOKUP(C72,'BASE DE DATOS'!$B$3:$E$106,2,FALSE)</f>
        <v>32.35</v>
      </c>
      <c r="G72" s="38">
        <f>VLOOKUP(C72,'BASE DE DATOS'!$B$3:$E$106,4,FALSE)</f>
        <v>2.0200000000000031</v>
      </c>
      <c r="H72" s="39">
        <f t="shared" si="135"/>
        <v>1.8350000000000026</v>
      </c>
      <c r="I72" s="171">
        <v>35.47</v>
      </c>
      <c r="J72" s="44">
        <f t="shared" si="132"/>
        <v>35.47</v>
      </c>
      <c r="K72" s="40">
        <f t="shared" si="133"/>
        <v>33.869999999999997</v>
      </c>
      <c r="L72" s="40">
        <f t="shared" si="134"/>
        <v>34.270000000000003</v>
      </c>
      <c r="M72" s="40">
        <f t="shared" si="376"/>
        <v>200</v>
      </c>
      <c r="N72" s="40">
        <f t="shared" si="377"/>
        <v>35.47</v>
      </c>
      <c r="O72" s="171" t="s">
        <v>120</v>
      </c>
      <c r="P72" s="19">
        <v>187.6</v>
      </c>
      <c r="Q72" s="171" t="s">
        <v>122</v>
      </c>
      <c r="R72" s="171" t="s">
        <v>133</v>
      </c>
      <c r="S72" s="171" t="s">
        <v>147</v>
      </c>
      <c r="T72" s="171" t="s">
        <v>146</v>
      </c>
      <c r="V72" s="51" t="str">
        <f t="shared" si="256"/>
        <v>-</v>
      </c>
      <c r="W72" s="52" t="str">
        <f t="shared" si="257"/>
        <v>-</v>
      </c>
      <c r="X72" s="52" t="str">
        <f t="shared" si="258"/>
        <v>-</v>
      </c>
      <c r="Y72" s="52" t="str">
        <f t="shared" si="259"/>
        <v>-</v>
      </c>
      <c r="Z72" s="52" t="str">
        <f t="shared" si="260"/>
        <v>-</v>
      </c>
      <c r="AA72" s="52" t="str">
        <f t="shared" si="261"/>
        <v>-</v>
      </c>
      <c r="AB72" s="52">
        <f t="shared" si="262"/>
        <v>33.869999999999997</v>
      </c>
      <c r="AC72" s="52" t="str">
        <f t="shared" si="263"/>
        <v>-</v>
      </c>
      <c r="AD72" s="52" t="str">
        <f t="shared" si="264"/>
        <v>-</v>
      </c>
      <c r="AE72" s="52" t="str">
        <f t="shared" si="265"/>
        <v>-</v>
      </c>
      <c r="AF72" s="52" t="str">
        <f t="shared" si="266"/>
        <v>-</v>
      </c>
      <c r="AG72" s="52" t="str">
        <f t="shared" si="267"/>
        <v>-</v>
      </c>
      <c r="AH72" s="52" t="str">
        <f t="shared" si="268"/>
        <v>-</v>
      </c>
      <c r="AI72" s="52" t="str">
        <f t="shared" si="269"/>
        <v>-</v>
      </c>
      <c r="AJ72" s="52" t="str">
        <f t="shared" si="270"/>
        <v>-</v>
      </c>
      <c r="AK72" s="52" t="str">
        <f t="shared" si="271"/>
        <v>-</v>
      </c>
      <c r="AL72" s="52" t="str">
        <f t="shared" si="272"/>
        <v>-</v>
      </c>
      <c r="AM72" s="53" t="str">
        <f t="shared" si="273"/>
        <v>-</v>
      </c>
      <c r="AN72" s="51" t="str">
        <f t="shared" si="274"/>
        <v>-</v>
      </c>
      <c r="AO72" s="52" t="str">
        <f t="shared" si="275"/>
        <v>-</v>
      </c>
      <c r="AP72" s="52" t="str">
        <f t="shared" si="276"/>
        <v>-</v>
      </c>
      <c r="AQ72" s="52" t="str">
        <f t="shared" si="277"/>
        <v>-</v>
      </c>
      <c r="AR72" s="52" t="str">
        <f t="shared" si="278"/>
        <v>-</v>
      </c>
      <c r="AS72" s="52" t="str">
        <f t="shared" si="279"/>
        <v>-</v>
      </c>
      <c r="AT72" s="52" t="str">
        <f t="shared" si="280"/>
        <v>-</v>
      </c>
      <c r="AU72" s="52" t="str">
        <f t="shared" si="281"/>
        <v>-</v>
      </c>
      <c r="AV72" s="52" t="str">
        <f t="shared" si="282"/>
        <v>-</v>
      </c>
      <c r="AW72" s="52" t="str">
        <f t="shared" si="283"/>
        <v>-</v>
      </c>
      <c r="AX72" s="52" t="str">
        <f t="shared" si="284"/>
        <v>-</v>
      </c>
      <c r="AY72" s="52" t="str">
        <f t="shared" si="285"/>
        <v>-</v>
      </c>
      <c r="AZ72" s="52" t="str">
        <f t="shared" si="286"/>
        <v>-</v>
      </c>
      <c r="BA72" s="52" t="str">
        <f t="shared" si="287"/>
        <v>-</v>
      </c>
      <c r="BB72" s="52" t="str">
        <f t="shared" si="288"/>
        <v>-</v>
      </c>
      <c r="BC72" s="52" t="str">
        <f t="shared" si="289"/>
        <v>-</v>
      </c>
      <c r="BD72" s="52" t="str">
        <f t="shared" si="290"/>
        <v>-</v>
      </c>
      <c r="BE72" s="53" t="str">
        <f t="shared" si="291"/>
        <v>-</v>
      </c>
      <c r="BF72" s="51" t="str">
        <f t="shared" si="292"/>
        <v>-</v>
      </c>
      <c r="BG72" s="52" t="str">
        <f t="shared" si="293"/>
        <v>-</v>
      </c>
      <c r="BH72" s="52" t="str">
        <f t="shared" si="294"/>
        <v>-</v>
      </c>
      <c r="BI72" s="52" t="str">
        <f t="shared" si="295"/>
        <v>-</v>
      </c>
      <c r="BJ72" s="52" t="str">
        <f t="shared" si="296"/>
        <v>-</v>
      </c>
      <c r="BK72" s="52" t="str">
        <f t="shared" si="297"/>
        <v>-</v>
      </c>
      <c r="BL72" s="52" t="str">
        <f t="shared" si="298"/>
        <v>-</v>
      </c>
      <c r="BM72" s="52" t="str">
        <f t="shared" si="299"/>
        <v>-</v>
      </c>
      <c r="BN72" s="52" t="str">
        <f t="shared" si="300"/>
        <v>-</v>
      </c>
      <c r="BO72" s="52" t="str">
        <f t="shared" si="301"/>
        <v>-</v>
      </c>
      <c r="BP72" s="52" t="str">
        <f t="shared" si="302"/>
        <v>-</v>
      </c>
      <c r="BQ72" s="52" t="str">
        <f t="shared" si="303"/>
        <v>-</v>
      </c>
      <c r="BR72" s="52" t="str">
        <f t="shared" si="304"/>
        <v>-</v>
      </c>
      <c r="BS72" s="52" t="str">
        <f t="shared" si="305"/>
        <v>-</v>
      </c>
      <c r="BT72" s="52" t="str">
        <f t="shared" si="306"/>
        <v>-</v>
      </c>
      <c r="BU72" s="52" t="str">
        <f t="shared" si="307"/>
        <v>-</v>
      </c>
      <c r="BV72" s="52" t="str">
        <f t="shared" si="308"/>
        <v>-</v>
      </c>
      <c r="BW72" s="53" t="str">
        <f t="shared" si="309"/>
        <v>-</v>
      </c>
      <c r="BX72" s="51" t="str">
        <f t="shared" si="310"/>
        <v>-</v>
      </c>
      <c r="BY72" s="52" t="str">
        <f t="shared" si="311"/>
        <v>-</v>
      </c>
      <c r="BZ72" s="52" t="str">
        <f t="shared" si="312"/>
        <v>-</v>
      </c>
      <c r="CA72" s="52" t="str">
        <f t="shared" si="313"/>
        <v>-</v>
      </c>
      <c r="CB72" s="52" t="str">
        <f t="shared" si="314"/>
        <v>-</v>
      </c>
      <c r="CC72" s="52" t="str">
        <f t="shared" si="315"/>
        <v>-</v>
      </c>
      <c r="CD72" s="52" t="str">
        <f t="shared" si="316"/>
        <v>-</v>
      </c>
      <c r="CE72" s="52" t="str">
        <f t="shared" si="317"/>
        <v>-</v>
      </c>
      <c r="CF72" s="52" t="str">
        <f t="shared" si="318"/>
        <v>-</v>
      </c>
      <c r="CG72" s="52" t="str">
        <f t="shared" si="319"/>
        <v>-</v>
      </c>
      <c r="CH72" s="52" t="str">
        <f t="shared" si="320"/>
        <v>-</v>
      </c>
      <c r="CI72" s="52" t="str">
        <f t="shared" si="321"/>
        <v>-</v>
      </c>
      <c r="CJ72" s="52" t="str">
        <f t="shared" si="322"/>
        <v>-</v>
      </c>
      <c r="CK72" s="52" t="str">
        <f t="shared" si="323"/>
        <v>-</v>
      </c>
      <c r="CL72" s="52" t="str">
        <f t="shared" si="324"/>
        <v>-</v>
      </c>
      <c r="CM72" s="52" t="str">
        <f t="shared" si="325"/>
        <v>-</v>
      </c>
      <c r="CN72" s="52" t="str">
        <f t="shared" si="326"/>
        <v>-</v>
      </c>
      <c r="CO72" s="53" t="str">
        <f t="shared" si="327"/>
        <v>-</v>
      </c>
      <c r="CQ72" s="305" t="str">
        <f t="shared" si="378"/>
        <v>-</v>
      </c>
      <c r="CR72" s="305">
        <f t="shared" si="379"/>
        <v>35.47</v>
      </c>
      <c r="CS72" s="305" t="str">
        <f t="shared" si="380"/>
        <v>-</v>
      </c>
      <c r="CT72" s="305" t="str">
        <f t="shared" si="381"/>
        <v>-</v>
      </c>
      <c r="CU72" s="305" t="str">
        <f t="shared" si="382"/>
        <v>-</v>
      </c>
      <c r="CV72" s="305" t="str">
        <f t="shared" si="383"/>
        <v>-</v>
      </c>
      <c r="CX72" s="51">
        <f t="shared" si="328"/>
        <v>34.270000000000003</v>
      </c>
      <c r="CY72" s="52" t="str">
        <f t="shared" si="329"/>
        <v>-</v>
      </c>
      <c r="CZ72" s="53" t="str">
        <f t="shared" si="330"/>
        <v>-</v>
      </c>
      <c r="DA72" s="51" t="str">
        <f t="shared" si="331"/>
        <v>-</v>
      </c>
      <c r="DB72" s="52" t="str">
        <f t="shared" si="332"/>
        <v>-</v>
      </c>
      <c r="DC72" s="53" t="str">
        <f t="shared" si="333"/>
        <v>-</v>
      </c>
      <c r="DD72" s="57"/>
      <c r="DE72" s="106" t="str">
        <f t="shared" si="334"/>
        <v>-</v>
      </c>
      <c r="DF72" s="107" t="str">
        <f t="shared" si="335"/>
        <v>-</v>
      </c>
      <c r="DG72" s="107" t="str">
        <f t="shared" si="336"/>
        <v>-</v>
      </c>
      <c r="DH72" s="107">
        <f t="shared" si="337"/>
        <v>34.270000000000003</v>
      </c>
      <c r="DI72" s="107" t="str">
        <f t="shared" si="338"/>
        <v>-</v>
      </c>
      <c r="DJ72" s="107" t="str">
        <f t="shared" si="339"/>
        <v>-</v>
      </c>
      <c r="DK72" s="107" t="str">
        <f t="shared" si="340"/>
        <v>-</v>
      </c>
      <c r="DL72" s="107" t="str">
        <f t="shared" si="341"/>
        <v>-</v>
      </c>
      <c r="DM72" s="108" t="str">
        <f t="shared" si="342"/>
        <v>-</v>
      </c>
      <c r="DO72" s="106" t="str">
        <f t="shared" si="343"/>
        <v>-</v>
      </c>
      <c r="DP72" s="107" t="str">
        <f t="shared" si="344"/>
        <v>-</v>
      </c>
      <c r="DQ72" s="107" t="str">
        <f t="shared" si="345"/>
        <v>-</v>
      </c>
      <c r="DR72" s="107">
        <f t="shared" si="346"/>
        <v>34.270000000000003</v>
      </c>
      <c r="DS72" s="107" t="str">
        <f t="shared" si="347"/>
        <v>-</v>
      </c>
      <c r="DT72" s="107" t="str">
        <f t="shared" si="348"/>
        <v>-</v>
      </c>
      <c r="DU72" s="107" t="str">
        <f t="shared" si="349"/>
        <v>-</v>
      </c>
      <c r="DV72" s="107" t="str">
        <f t="shared" si="350"/>
        <v>-</v>
      </c>
      <c r="DW72" s="108" t="str">
        <f t="shared" si="351"/>
        <v>-</v>
      </c>
      <c r="DX72" s="109" t="str">
        <f t="shared" si="352"/>
        <v>-</v>
      </c>
      <c r="DY72" s="110" t="str">
        <f t="shared" si="353"/>
        <v>-</v>
      </c>
      <c r="DZ72" s="110" t="str">
        <f t="shared" si="354"/>
        <v>-</v>
      </c>
      <c r="EA72" s="110" t="str">
        <f t="shared" si="355"/>
        <v>-</v>
      </c>
      <c r="EB72" s="110" t="str">
        <f t="shared" si="356"/>
        <v>-</v>
      </c>
      <c r="EC72" s="110" t="str">
        <f t="shared" si="357"/>
        <v>-</v>
      </c>
      <c r="ED72" s="110" t="str">
        <f t="shared" si="358"/>
        <v>-</v>
      </c>
      <c r="EE72" s="110" t="str">
        <f t="shared" si="359"/>
        <v>-</v>
      </c>
      <c r="EF72" s="111" t="str">
        <f t="shared" si="360"/>
        <v>-</v>
      </c>
      <c r="EG72" s="109" t="str">
        <f t="shared" si="361"/>
        <v>-</v>
      </c>
      <c r="EH72" s="110" t="str">
        <f t="shared" si="362"/>
        <v>-</v>
      </c>
      <c r="EI72" s="110" t="str">
        <f t="shared" si="363"/>
        <v>-</v>
      </c>
      <c r="EJ72" s="110" t="str">
        <f t="shared" si="364"/>
        <v>-</v>
      </c>
      <c r="EK72" s="110" t="str">
        <f t="shared" si="365"/>
        <v>-</v>
      </c>
      <c r="EL72" s="110" t="str">
        <f t="shared" si="366"/>
        <v>-</v>
      </c>
      <c r="EM72" s="110" t="str">
        <f t="shared" si="367"/>
        <v>-</v>
      </c>
      <c r="EN72" s="110" t="str">
        <f t="shared" si="368"/>
        <v>-</v>
      </c>
      <c r="EO72" s="111" t="str">
        <f t="shared" si="369"/>
        <v>-</v>
      </c>
      <c r="EQ72" s="118">
        <f t="shared" si="370"/>
        <v>34.270000000000003</v>
      </c>
      <c r="ER72" s="119" t="str">
        <f t="shared" si="371"/>
        <v>-</v>
      </c>
      <c r="ES72" s="120" t="str">
        <f t="shared" si="372"/>
        <v>-</v>
      </c>
      <c r="ET72" s="90">
        <v>2</v>
      </c>
      <c r="EU72" s="118">
        <f t="shared" si="373"/>
        <v>2</v>
      </c>
      <c r="EV72" s="119" t="str">
        <f t="shared" si="374"/>
        <v>-</v>
      </c>
      <c r="EW72" s="120" t="str">
        <f t="shared" si="375"/>
        <v>-</v>
      </c>
    </row>
    <row r="73" spans="1:153" ht="15.75" thickBot="1" x14ac:dyDescent="0.3">
      <c r="A73" s="41"/>
      <c r="B73" s="171" t="s">
        <v>509</v>
      </c>
      <c r="C73" s="171" t="s">
        <v>473</v>
      </c>
      <c r="D73" s="42">
        <f>VLOOKUP(B73,'BASE DE DATOS'!$B$3:$E$106,2,FALSE)</f>
        <v>32.35</v>
      </c>
      <c r="E73" s="42">
        <f>VLOOKUP(B73,'BASE DE DATOS'!$B$3:$E$106,4,FALSE)</f>
        <v>2.0200000000000031</v>
      </c>
      <c r="F73" s="42">
        <f>VLOOKUP(C73,'BASE DE DATOS'!$B$3:$E$106,2,FALSE)</f>
        <v>32.53</v>
      </c>
      <c r="G73" s="42">
        <f>VLOOKUP(C73,'BASE DE DATOS'!$B$3:$E$106,4,FALSE)</f>
        <v>2.3300000000000018</v>
      </c>
      <c r="H73" s="43">
        <f t="shared" si="135"/>
        <v>2.1750000000000025</v>
      </c>
      <c r="I73" s="171">
        <v>48.91</v>
      </c>
      <c r="J73" s="44">
        <f t="shared" si="132"/>
        <v>48.91</v>
      </c>
      <c r="K73" s="40">
        <f t="shared" si="133"/>
        <v>47.31</v>
      </c>
      <c r="L73" s="40">
        <f t="shared" si="134"/>
        <v>47.71</v>
      </c>
      <c r="M73" s="44">
        <f t="shared" si="376"/>
        <v>315</v>
      </c>
      <c r="N73" s="40">
        <f t="shared" si="377"/>
        <v>48.91</v>
      </c>
      <c r="O73" s="171" t="s">
        <v>121</v>
      </c>
      <c r="P73" s="19">
        <v>295.60000000000002</v>
      </c>
      <c r="Q73" s="171" t="s">
        <v>123</v>
      </c>
      <c r="R73" s="171" t="s">
        <v>133</v>
      </c>
      <c r="S73" s="171" t="s">
        <v>147</v>
      </c>
      <c r="T73" s="171" t="s">
        <v>146</v>
      </c>
      <c r="V73" s="51" t="str">
        <f t="shared" si="256"/>
        <v>-</v>
      </c>
      <c r="W73" s="52" t="str">
        <f t="shared" si="257"/>
        <v>-</v>
      </c>
      <c r="X73" s="52" t="str">
        <f t="shared" si="258"/>
        <v>-</v>
      </c>
      <c r="Y73" s="52" t="str">
        <f t="shared" si="259"/>
        <v>-</v>
      </c>
      <c r="Z73" s="52" t="str">
        <f t="shared" si="260"/>
        <v>-</v>
      </c>
      <c r="AA73" s="52" t="str">
        <f t="shared" si="261"/>
        <v>-</v>
      </c>
      <c r="AB73" s="52" t="str">
        <f t="shared" si="262"/>
        <v>-</v>
      </c>
      <c r="AC73" s="52" t="str">
        <f t="shared" si="263"/>
        <v>-</v>
      </c>
      <c r="AD73" s="52" t="str">
        <f t="shared" si="264"/>
        <v>-</v>
      </c>
      <c r="AE73" s="52" t="str">
        <f t="shared" si="265"/>
        <v>-</v>
      </c>
      <c r="AF73" s="52" t="str">
        <f t="shared" si="266"/>
        <v>-</v>
      </c>
      <c r="AG73" s="52" t="str">
        <f t="shared" si="267"/>
        <v>-</v>
      </c>
      <c r="AH73" s="52" t="str">
        <f t="shared" si="268"/>
        <v>-</v>
      </c>
      <c r="AI73" s="52" t="str">
        <f t="shared" si="269"/>
        <v>-</v>
      </c>
      <c r="AJ73" s="52" t="str">
        <f t="shared" si="270"/>
        <v>-</v>
      </c>
      <c r="AK73" s="52" t="str">
        <f t="shared" si="271"/>
        <v>-</v>
      </c>
      <c r="AL73" s="52" t="str">
        <f t="shared" si="272"/>
        <v>-</v>
      </c>
      <c r="AM73" s="53" t="str">
        <f t="shared" si="273"/>
        <v>-</v>
      </c>
      <c r="AN73" s="51" t="str">
        <f t="shared" si="274"/>
        <v>-</v>
      </c>
      <c r="AO73" s="52" t="str">
        <f t="shared" si="275"/>
        <v>-</v>
      </c>
      <c r="AP73" s="52" t="str">
        <f t="shared" si="276"/>
        <v>-</v>
      </c>
      <c r="AQ73" s="52" t="str">
        <f t="shared" si="277"/>
        <v>-</v>
      </c>
      <c r="AR73" s="52" t="str">
        <f t="shared" si="278"/>
        <v>-</v>
      </c>
      <c r="AS73" s="52" t="str">
        <f t="shared" si="279"/>
        <v>-</v>
      </c>
      <c r="AT73" s="52" t="str">
        <f t="shared" si="280"/>
        <v>-</v>
      </c>
      <c r="AU73" s="52" t="str">
        <f t="shared" si="281"/>
        <v>-</v>
      </c>
      <c r="AV73" s="52" t="str">
        <f t="shared" si="282"/>
        <v>-</v>
      </c>
      <c r="AW73" s="52">
        <f t="shared" si="283"/>
        <v>47.31</v>
      </c>
      <c r="AX73" s="52" t="str">
        <f t="shared" si="284"/>
        <v>-</v>
      </c>
      <c r="AY73" s="52" t="str">
        <f t="shared" si="285"/>
        <v>-</v>
      </c>
      <c r="AZ73" s="52" t="str">
        <f t="shared" si="286"/>
        <v>-</v>
      </c>
      <c r="BA73" s="52" t="str">
        <f t="shared" si="287"/>
        <v>-</v>
      </c>
      <c r="BB73" s="52" t="str">
        <f t="shared" si="288"/>
        <v>-</v>
      </c>
      <c r="BC73" s="52" t="str">
        <f t="shared" si="289"/>
        <v>-</v>
      </c>
      <c r="BD73" s="52" t="str">
        <f t="shared" si="290"/>
        <v>-</v>
      </c>
      <c r="BE73" s="53" t="str">
        <f t="shared" si="291"/>
        <v>-</v>
      </c>
      <c r="BF73" s="51" t="str">
        <f t="shared" si="292"/>
        <v>-</v>
      </c>
      <c r="BG73" s="52" t="str">
        <f t="shared" si="293"/>
        <v>-</v>
      </c>
      <c r="BH73" s="52" t="str">
        <f t="shared" si="294"/>
        <v>-</v>
      </c>
      <c r="BI73" s="52" t="str">
        <f t="shared" si="295"/>
        <v>-</v>
      </c>
      <c r="BJ73" s="52" t="str">
        <f t="shared" si="296"/>
        <v>-</v>
      </c>
      <c r="BK73" s="52" t="str">
        <f t="shared" si="297"/>
        <v>-</v>
      </c>
      <c r="BL73" s="52" t="str">
        <f t="shared" si="298"/>
        <v>-</v>
      </c>
      <c r="BM73" s="52" t="str">
        <f t="shared" si="299"/>
        <v>-</v>
      </c>
      <c r="BN73" s="52" t="str">
        <f t="shared" si="300"/>
        <v>-</v>
      </c>
      <c r="BO73" s="52" t="str">
        <f t="shared" si="301"/>
        <v>-</v>
      </c>
      <c r="BP73" s="52" t="str">
        <f t="shared" si="302"/>
        <v>-</v>
      </c>
      <c r="BQ73" s="52" t="str">
        <f t="shared" si="303"/>
        <v>-</v>
      </c>
      <c r="BR73" s="52" t="str">
        <f t="shared" si="304"/>
        <v>-</v>
      </c>
      <c r="BS73" s="52" t="str">
        <f t="shared" si="305"/>
        <v>-</v>
      </c>
      <c r="BT73" s="52" t="str">
        <f t="shared" si="306"/>
        <v>-</v>
      </c>
      <c r="BU73" s="52" t="str">
        <f t="shared" si="307"/>
        <v>-</v>
      </c>
      <c r="BV73" s="52" t="str">
        <f t="shared" si="308"/>
        <v>-</v>
      </c>
      <c r="BW73" s="53" t="str">
        <f t="shared" si="309"/>
        <v>-</v>
      </c>
      <c r="BX73" s="51" t="str">
        <f t="shared" si="310"/>
        <v>-</v>
      </c>
      <c r="BY73" s="52" t="str">
        <f t="shared" si="311"/>
        <v>-</v>
      </c>
      <c r="BZ73" s="52" t="str">
        <f t="shared" si="312"/>
        <v>-</v>
      </c>
      <c r="CA73" s="52" t="str">
        <f t="shared" si="313"/>
        <v>-</v>
      </c>
      <c r="CB73" s="52" t="str">
        <f t="shared" si="314"/>
        <v>-</v>
      </c>
      <c r="CC73" s="52" t="str">
        <f t="shared" si="315"/>
        <v>-</v>
      </c>
      <c r="CD73" s="52" t="str">
        <f t="shared" si="316"/>
        <v>-</v>
      </c>
      <c r="CE73" s="52" t="str">
        <f t="shared" si="317"/>
        <v>-</v>
      </c>
      <c r="CF73" s="52" t="str">
        <f t="shared" si="318"/>
        <v>-</v>
      </c>
      <c r="CG73" s="52" t="str">
        <f t="shared" si="319"/>
        <v>-</v>
      </c>
      <c r="CH73" s="52" t="str">
        <f t="shared" si="320"/>
        <v>-</v>
      </c>
      <c r="CI73" s="52" t="str">
        <f t="shared" si="321"/>
        <v>-</v>
      </c>
      <c r="CJ73" s="52" t="str">
        <f t="shared" si="322"/>
        <v>-</v>
      </c>
      <c r="CK73" s="52" t="str">
        <f t="shared" si="323"/>
        <v>-</v>
      </c>
      <c r="CL73" s="52" t="str">
        <f t="shared" si="324"/>
        <v>-</v>
      </c>
      <c r="CM73" s="52" t="str">
        <f t="shared" si="325"/>
        <v>-</v>
      </c>
      <c r="CN73" s="52" t="str">
        <f t="shared" si="326"/>
        <v>-</v>
      </c>
      <c r="CO73" s="53" t="str">
        <f t="shared" si="327"/>
        <v>-</v>
      </c>
      <c r="CQ73" s="305" t="str">
        <f t="shared" si="378"/>
        <v>-</v>
      </c>
      <c r="CR73" s="305">
        <f t="shared" si="379"/>
        <v>48.91</v>
      </c>
      <c r="CS73" s="305" t="str">
        <f t="shared" si="380"/>
        <v>-</v>
      </c>
      <c r="CT73" s="305" t="str">
        <f t="shared" si="381"/>
        <v>-</v>
      </c>
      <c r="CU73" s="305" t="str">
        <f t="shared" si="382"/>
        <v>-</v>
      </c>
      <c r="CV73" s="305" t="str">
        <f t="shared" si="383"/>
        <v>-</v>
      </c>
      <c r="CX73" s="51" t="str">
        <f t="shared" si="328"/>
        <v>-</v>
      </c>
      <c r="CY73" s="52" t="str">
        <f t="shared" si="329"/>
        <v>-</v>
      </c>
      <c r="CZ73" s="53" t="str">
        <f t="shared" si="330"/>
        <v>-</v>
      </c>
      <c r="DA73" s="51" t="str">
        <f t="shared" si="331"/>
        <v>-</v>
      </c>
      <c r="DB73" s="52">
        <f t="shared" si="332"/>
        <v>47.71</v>
      </c>
      <c r="DC73" s="53" t="str">
        <f t="shared" si="333"/>
        <v>-</v>
      </c>
      <c r="DD73" s="57"/>
      <c r="DE73" s="106" t="str">
        <f t="shared" si="334"/>
        <v>-</v>
      </c>
      <c r="DF73" s="107" t="str">
        <f t="shared" si="335"/>
        <v>-</v>
      </c>
      <c r="DG73" s="107" t="str">
        <f t="shared" si="336"/>
        <v>-</v>
      </c>
      <c r="DH73" s="107" t="str">
        <f t="shared" si="337"/>
        <v>-</v>
      </c>
      <c r="DI73" s="107" t="str">
        <f t="shared" si="338"/>
        <v>-</v>
      </c>
      <c r="DJ73" s="107" t="str">
        <f t="shared" si="339"/>
        <v>-</v>
      </c>
      <c r="DK73" s="107" t="str">
        <f t="shared" si="340"/>
        <v>-</v>
      </c>
      <c r="DL73" s="107" t="str">
        <f t="shared" si="341"/>
        <v>-</v>
      </c>
      <c r="DM73" s="108" t="str">
        <f t="shared" si="342"/>
        <v>-</v>
      </c>
      <c r="DO73" s="106" t="str">
        <f t="shared" si="343"/>
        <v>-</v>
      </c>
      <c r="DP73" s="107" t="str">
        <f t="shared" si="344"/>
        <v>-</v>
      </c>
      <c r="DQ73" s="107" t="str">
        <f t="shared" si="345"/>
        <v>-</v>
      </c>
      <c r="DR73" s="107" t="str">
        <f t="shared" si="346"/>
        <v>-</v>
      </c>
      <c r="DS73" s="107" t="str">
        <f t="shared" si="347"/>
        <v>-</v>
      </c>
      <c r="DT73" s="107" t="str">
        <f t="shared" si="348"/>
        <v>-</v>
      </c>
      <c r="DU73" s="107" t="str">
        <f t="shared" si="349"/>
        <v>-</v>
      </c>
      <c r="DV73" s="107" t="str">
        <f t="shared" si="350"/>
        <v>-</v>
      </c>
      <c r="DW73" s="108" t="str">
        <f t="shared" si="351"/>
        <v>-</v>
      </c>
      <c r="DX73" s="109" t="str">
        <f t="shared" si="352"/>
        <v>-</v>
      </c>
      <c r="DY73" s="110" t="str">
        <f t="shared" si="353"/>
        <v>-</v>
      </c>
      <c r="DZ73" s="110" t="str">
        <f t="shared" si="354"/>
        <v>-</v>
      </c>
      <c r="EA73" s="110" t="str">
        <f t="shared" si="355"/>
        <v>-</v>
      </c>
      <c r="EB73" s="110" t="str">
        <f t="shared" si="356"/>
        <v>-</v>
      </c>
      <c r="EC73" s="110" t="str">
        <f t="shared" si="357"/>
        <v>-</v>
      </c>
      <c r="ED73" s="110" t="str">
        <f t="shared" si="358"/>
        <v>-</v>
      </c>
      <c r="EE73" s="110" t="str">
        <f t="shared" si="359"/>
        <v>-</v>
      </c>
      <c r="EF73" s="111">
        <f t="shared" si="360"/>
        <v>48.91</v>
      </c>
      <c r="EG73" s="109" t="str">
        <f t="shared" si="361"/>
        <v>-</v>
      </c>
      <c r="EH73" s="110" t="str">
        <f t="shared" si="362"/>
        <v>-</v>
      </c>
      <c r="EI73" s="110" t="str">
        <f t="shared" si="363"/>
        <v>-</v>
      </c>
      <c r="EJ73" s="110" t="str">
        <f t="shared" si="364"/>
        <v>-</v>
      </c>
      <c r="EK73" s="110" t="str">
        <f t="shared" si="365"/>
        <v>-</v>
      </c>
      <c r="EL73" s="110" t="str">
        <f t="shared" si="366"/>
        <v>-</v>
      </c>
      <c r="EM73" s="110" t="str">
        <f t="shared" si="367"/>
        <v>-</v>
      </c>
      <c r="EN73" s="110" t="str">
        <f t="shared" si="368"/>
        <v>-</v>
      </c>
      <c r="EO73" s="111" t="str">
        <f t="shared" si="369"/>
        <v>-</v>
      </c>
      <c r="EQ73" s="118" t="str">
        <f t="shared" si="370"/>
        <v>-</v>
      </c>
      <c r="ER73" s="119" t="str">
        <f t="shared" si="371"/>
        <v>-</v>
      </c>
      <c r="ES73" s="120">
        <f t="shared" si="372"/>
        <v>47.71</v>
      </c>
      <c r="ET73" s="90">
        <v>2</v>
      </c>
      <c r="EU73" s="118" t="str">
        <f t="shared" si="373"/>
        <v>-</v>
      </c>
      <c r="EV73" s="119" t="str">
        <f t="shared" si="374"/>
        <v>-</v>
      </c>
      <c r="EW73" s="120">
        <f t="shared" si="375"/>
        <v>2</v>
      </c>
    </row>
    <row r="74" spans="1:153" ht="15.75" thickBot="1" x14ac:dyDescent="0.3">
      <c r="A74" s="41"/>
      <c r="B74" s="171" t="s">
        <v>510</v>
      </c>
      <c r="C74" s="171" t="s">
        <v>531</v>
      </c>
      <c r="D74" s="42">
        <f>VLOOKUP(B74,'BASE DE DATOS'!$B$3:$E$106,2,FALSE)</f>
        <v>32.049999999999997</v>
      </c>
      <c r="E74" s="42">
        <f>VLOOKUP(B74,'BASE DE DATOS'!$B$3:$E$106,4,FALSE)</f>
        <v>1.1999999999999957</v>
      </c>
      <c r="F74" s="42">
        <f>VLOOKUP(C74,'BASE DE DATOS'!$B$3:$E$106,2,FALSE)</f>
        <v>31.81</v>
      </c>
      <c r="G74" s="42">
        <f>VLOOKUP(C74,'BASE DE DATOS'!$B$3:$E$106,4,FALSE)</f>
        <v>2.9800000000000004</v>
      </c>
      <c r="H74" s="43">
        <f t="shared" si="135"/>
        <v>2.0899999999999981</v>
      </c>
      <c r="I74" s="171">
        <v>81.28</v>
      </c>
      <c r="J74" s="44">
        <f t="shared" si="132"/>
        <v>81.3</v>
      </c>
      <c r="K74" s="40">
        <f t="shared" si="133"/>
        <v>79.709999999999994</v>
      </c>
      <c r="L74" s="40">
        <f t="shared" si="134"/>
        <v>80.11</v>
      </c>
      <c r="M74" s="44">
        <f t="shared" si="376"/>
        <v>200</v>
      </c>
      <c r="N74" s="40">
        <f t="shared" si="377"/>
        <v>81.28</v>
      </c>
      <c r="O74" s="171" t="s">
        <v>120</v>
      </c>
      <c r="P74" s="19">
        <v>187.6</v>
      </c>
      <c r="Q74" s="171" t="s">
        <v>123</v>
      </c>
      <c r="R74" s="171" t="s">
        <v>133</v>
      </c>
      <c r="S74" s="171" t="s">
        <v>147</v>
      </c>
      <c r="T74" s="171" t="s">
        <v>146</v>
      </c>
      <c r="V74" s="51" t="str">
        <f t="shared" si="256"/>
        <v>-</v>
      </c>
      <c r="W74" s="52" t="str">
        <f t="shared" si="257"/>
        <v>-</v>
      </c>
      <c r="X74" s="52" t="str">
        <f t="shared" si="258"/>
        <v>-</v>
      </c>
      <c r="Y74" s="52" t="str">
        <f t="shared" si="259"/>
        <v>-</v>
      </c>
      <c r="Z74" s="52" t="str">
        <f t="shared" si="260"/>
        <v>-</v>
      </c>
      <c r="AA74" s="52" t="str">
        <f t="shared" si="261"/>
        <v>-</v>
      </c>
      <c r="AB74" s="52" t="str">
        <f t="shared" si="262"/>
        <v>-</v>
      </c>
      <c r="AC74" s="52" t="str">
        <f t="shared" si="263"/>
        <v>-</v>
      </c>
      <c r="AD74" s="52" t="str">
        <f t="shared" si="264"/>
        <v>-</v>
      </c>
      <c r="AE74" s="52">
        <f t="shared" si="265"/>
        <v>79.709999999999994</v>
      </c>
      <c r="AF74" s="52" t="str">
        <f t="shared" si="266"/>
        <v>-</v>
      </c>
      <c r="AG74" s="52" t="str">
        <f t="shared" si="267"/>
        <v>-</v>
      </c>
      <c r="AH74" s="52" t="str">
        <f t="shared" si="268"/>
        <v>-</v>
      </c>
      <c r="AI74" s="52" t="str">
        <f t="shared" si="269"/>
        <v>-</v>
      </c>
      <c r="AJ74" s="52" t="str">
        <f t="shared" si="270"/>
        <v>-</v>
      </c>
      <c r="AK74" s="52" t="str">
        <f t="shared" si="271"/>
        <v>-</v>
      </c>
      <c r="AL74" s="52" t="str">
        <f t="shared" si="272"/>
        <v>-</v>
      </c>
      <c r="AM74" s="53" t="str">
        <f t="shared" si="273"/>
        <v>-</v>
      </c>
      <c r="AN74" s="51" t="str">
        <f t="shared" si="274"/>
        <v>-</v>
      </c>
      <c r="AO74" s="52" t="str">
        <f t="shared" si="275"/>
        <v>-</v>
      </c>
      <c r="AP74" s="52" t="str">
        <f t="shared" si="276"/>
        <v>-</v>
      </c>
      <c r="AQ74" s="52" t="str">
        <f t="shared" si="277"/>
        <v>-</v>
      </c>
      <c r="AR74" s="52" t="str">
        <f t="shared" si="278"/>
        <v>-</v>
      </c>
      <c r="AS74" s="52" t="str">
        <f t="shared" si="279"/>
        <v>-</v>
      </c>
      <c r="AT74" s="52" t="str">
        <f t="shared" si="280"/>
        <v>-</v>
      </c>
      <c r="AU74" s="52" t="str">
        <f t="shared" si="281"/>
        <v>-</v>
      </c>
      <c r="AV74" s="52" t="str">
        <f t="shared" si="282"/>
        <v>-</v>
      </c>
      <c r="AW74" s="52" t="str">
        <f t="shared" si="283"/>
        <v>-</v>
      </c>
      <c r="AX74" s="52" t="str">
        <f t="shared" si="284"/>
        <v>-</v>
      </c>
      <c r="AY74" s="52" t="str">
        <f t="shared" si="285"/>
        <v>-</v>
      </c>
      <c r="AZ74" s="52" t="str">
        <f t="shared" si="286"/>
        <v>-</v>
      </c>
      <c r="BA74" s="52" t="str">
        <f t="shared" si="287"/>
        <v>-</v>
      </c>
      <c r="BB74" s="52" t="str">
        <f t="shared" si="288"/>
        <v>-</v>
      </c>
      <c r="BC74" s="52" t="str">
        <f t="shared" si="289"/>
        <v>-</v>
      </c>
      <c r="BD74" s="52" t="str">
        <f t="shared" si="290"/>
        <v>-</v>
      </c>
      <c r="BE74" s="53" t="str">
        <f t="shared" si="291"/>
        <v>-</v>
      </c>
      <c r="BF74" s="51" t="str">
        <f t="shared" si="292"/>
        <v>-</v>
      </c>
      <c r="BG74" s="52" t="str">
        <f t="shared" si="293"/>
        <v>-</v>
      </c>
      <c r="BH74" s="52" t="str">
        <f t="shared" si="294"/>
        <v>-</v>
      </c>
      <c r="BI74" s="52" t="str">
        <f t="shared" si="295"/>
        <v>-</v>
      </c>
      <c r="BJ74" s="52" t="str">
        <f t="shared" si="296"/>
        <v>-</v>
      </c>
      <c r="BK74" s="52" t="str">
        <f t="shared" si="297"/>
        <v>-</v>
      </c>
      <c r="BL74" s="52" t="str">
        <f t="shared" si="298"/>
        <v>-</v>
      </c>
      <c r="BM74" s="52" t="str">
        <f t="shared" si="299"/>
        <v>-</v>
      </c>
      <c r="BN74" s="52" t="str">
        <f t="shared" si="300"/>
        <v>-</v>
      </c>
      <c r="BO74" s="52" t="str">
        <f t="shared" si="301"/>
        <v>-</v>
      </c>
      <c r="BP74" s="52" t="str">
        <f t="shared" si="302"/>
        <v>-</v>
      </c>
      <c r="BQ74" s="52" t="str">
        <f t="shared" si="303"/>
        <v>-</v>
      </c>
      <c r="BR74" s="52" t="str">
        <f t="shared" si="304"/>
        <v>-</v>
      </c>
      <c r="BS74" s="52" t="str">
        <f t="shared" si="305"/>
        <v>-</v>
      </c>
      <c r="BT74" s="52" t="str">
        <f t="shared" si="306"/>
        <v>-</v>
      </c>
      <c r="BU74" s="52" t="str">
        <f t="shared" si="307"/>
        <v>-</v>
      </c>
      <c r="BV74" s="52" t="str">
        <f t="shared" si="308"/>
        <v>-</v>
      </c>
      <c r="BW74" s="53" t="str">
        <f t="shared" si="309"/>
        <v>-</v>
      </c>
      <c r="BX74" s="51" t="str">
        <f t="shared" si="310"/>
        <v>-</v>
      </c>
      <c r="BY74" s="52" t="str">
        <f t="shared" si="311"/>
        <v>-</v>
      </c>
      <c r="BZ74" s="52" t="str">
        <f t="shared" si="312"/>
        <v>-</v>
      </c>
      <c r="CA74" s="52" t="str">
        <f t="shared" si="313"/>
        <v>-</v>
      </c>
      <c r="CB74" s="52" t="str">
        <f t="shared" si="314"/>
        <v>-</v>
      </c>
      <c r="CC74" s="52" t="str">
        <f t="shared" si="315"/>
        <v>-</v>
      </c>
      <c r="CD74" s="52" t="str">
        <f t="shared" si="316"/>
        <v>-</v>
      </c>
      <c r="CE74" s="52" t="str">
        <f t="shared" si="317"/>
        <v>-</v>
      </c>
      <c r="CF74" s="52" t="str">
        <f t="shared" si="318"/>
        <v>-</v>
      </c>
      <c r="CG74" s="52" t="str">
        <f t="shared" si="319"/>
        <v>-</v>
      </c>
      <c r="CH74" s="52" t="str">
        <f t="shared" si="320"/>
        <v>-</v>
      </c>
      <c r="CI74" s="52" t="str">
        <f t="shared" si="321"/>
        <v>-</v>
      </c>
      <c r="CJ74" s="52" t="str">
        <f t="shared" si="322"/>
        <v>-</v>
      </c>
      <c r="CK74" s="52" t="str">
        <f t="shared" si="323"/>
        <v>-</v>
      </c>
      <c r="CL74" s="52" t="str">
        <f t="shared" si="324"/>
        <v>-</v>
      </c>
      <c r="CM74" s="52" t="str">
        <f t="shared" si="325"/>
        <v>-</v>
      </c>
      <c r="CN74" s="52" t="str">
        <f t="shared" si="326"/>
        <v>-</v>
      </c>
      <c r="CO74" s="53" t="str">
        <f t="shared" si="327"/>
        <v>-</v>
      </c>
      <c r="CQ74" s="305" t="str">
        <f t="shared" si="378"/>
        <v>-</v>
      </c>
      <c r="CR74" s="305">
        <f t="shared" si="379"/>
        <v>81.28</v>
      </c>
      <c r="CS74" s="305" t="str">
        <f t="shared" si="380"/>
        <v>-</v>
      </c>
      <c r="CT74" s="305" t="str">
        <f t="shared" si="381"/>
        <v>-</v>
      </c>
      <c r="CU74" s="305" t="str">
        <f t="shared" si="382"/>
        <v>-</v>
      </c>
      <c r="CV74" s="305" t="str">
        <f t="shared" si="383"/>
        <v>-</v>
      </c>
      <c r="CX74" s="51" t="str">
        <f t="shared" si="328"/>
        <v>-</v>
      </c>
      <c r="CY74" s="52">
        <f t="shared" si="329"/>
        <v>80.11</v>
      </c>
      <c r="CZ74" s="53" t="str">
        <f t="shared" si="330"/>
        <v>-</v>
      </c>
      <c r="DA74" s="51" t="str">
        <f t="shared" si="331"/>
        <v>-</v>
      </c>
      <c r="DB74" s="52" t="str">
        <f t="shared" si="332"/>
        <v>-</v>
      </c>
      <c r="DC74" s="53" t="str">
        <f t="shared" si="333"/>
        <v>-</v>
      </c>
      <c r="DD74" s="57"/>
      <c r="DE74" s="106" t="str">
        <f t="shared" si="334"/>
        <v>-</v>
      </c>
      <c r="DF74" s="107" t="str">
        <f t="shared" si="335"/>
        <v>-</v>
      </c>
      <c r="DG74" s="107" t="str">
        <f t="shared" si="336"/>
        <v>-</v>
      </c>
      <c r="DH74" s="107" t="str">
        <f t="shared" si="337"/>
        <v>-</v>
      </c>
      <c r="DI74" s="107" t="str">
        <f t="shared" si="338"/>
        <v>-</v>
      </c>
      <c r="DJ74" s="107" t="str">
        <f t="shared" si="339"/>
        <v>-</v>
      </c>
      <c r="DK74" s="107" t="str">
        <f t="shared" si="340"/>
        <v>-</v>
      </c>
      <c r="DL74" s="107" t="str">
        <f t="shared" si="341"/>
        <v>-</v>
      </c>
      <c r="DM74" s="108" t="str">
        <f t="shared" si="342"/>
        <v>-</v>
      </c>
      <c r="DO74" s="106" t="str">
        <f t="shared" si="343"/>
        <v>-</v>
      </c>
      <c r="DP74" s="107" t="str">
        <f t="shared" si="344"/>
        <v>-</v>
      </c>
      <c r="DQ74" s="107" t="str">
        <f t="shared" si="345"/>
        <v>-</v>
      </c>
      <c r="DR74" s="107" t="str">
        <f t="shared" si="346"/>
        <v>-</v>
      </c>
      <c r="DS74" s="107" t="str">
        <f t="shared" si="347"/>
        <v>-</v>
      </c>
      <c r="DT74" s="107" t="str">
        <f t="shared" si="348"/>
        <v>-</v>
      </c>
      <c r="DU74" s="107" t="str">
        <f t="shared" si="349"/>
        <v>-</v>
      </c>
      <c r="DV74" s="107" t="str">
        <f t="shared" si="350"/>
        <v>-</v>
      </c>
      <c r="DW74" s="108" t="str">
        <f t="shared" si="351"/>
        <v>-</v>
      </c>
      <c r="DX74" s="109" t="str">
        <f t="shared" si="352"/>
        <v>-</v>
      </c>
      <c r="DY74" s="110" t="str">
        <f t="shared" si="353"/>
        <v>-</v>
      </c>
      <c r="DZ74" s="110" t="str">
        <f t="shared" si="354"/>
        <v>-</v>
      </c>
      <c r="EA74" s="110">
        <f t="shared" si="355"/>
        <v>81.28</v>
      </c>
      <c r="EB74" s="110" t="str">
        <f t="shared" si="356"/>
        <v>-</v>
      </c>
      <c r="EC74" s="110" t="str">
        <f t="shared" si="357"/>
        <v>-</v>
      </c>
      <c r="ED74" s="110" t="str">
        <f t="shared" si="358"/>
        <v>-</v>
      </c>
      <c r="EE74" s="110" t="str">
        <f t="shared" si="359"/>
        <v>-</v>
      </c>
      <c r="EF74" s="111" t="str">
        <f t="shared" si="360"/>
        <v>-</v>
      </c>
      <c r="EG74" s="109" t="str">
        <f t="shared" si="361"/>
        <v>-</v>
      </c>
      <c r="EH74" s="110" t="str">
        <f t="shared" si="362"/>
        <v>-</v>
      </c>
      <c r="EI74" s="110" t="str">
        <f t="shared" si="363"/>
        <v>-</v>
      </c>
      <c r="EJ74" s="110" t="str">
        <f t="shared" si="364"/>
        <v>-</v>
      </c>
      <c r="EK74" s="110" t="str">
        <f t="shared" si="365"/>
        <v>-</v>
      </c>
      <c r="EL74" s="110" t="str">
        <f t="shared" si="366"/>
        <v>-</v>
      </c>
      <c r="EM74" s="110" t="str">
        <f t="shared" si="367"/>
        <v>-</v>
      </c>
      <c r="EN74" s="110" t="str">
        <f t="shared" si="368"/>
        <v>-</v>
      </c>
      <c r="EO74" s="111" t="str">
        <f t="shared" si="369"/>
        <v>-</v>
      </c>
      <c r="EQ74" s="118">
        <f t="shared" si="370"/>
        <v>80.11</v>
      </c>
      <c r="ER74" s="119" t="str">
        <f t="shared" si="371"/>
        <v>-</v>
      </c>
      <c r="ES74" s="120" t="str">
        <f t="shared" si="372"/>
        <v>-</v>
      </c>
      <c r="ET74" s="90">
        <v>2</v>
      </c>
      <c r="EU74" s="118">
        <f t="shared" si="373"/>
        <v>2</v>
      </c>
      <c r="EV74" s="119" t="str">
        <f t="shared" si="374"/>
        <v>-</v>
      </c>
      <c r="EW74" s="120" t="str">
        <f t="shared" si="375"/>
        <v>-</v>
      </c>
    </row>
    <row r="75" spans="1:153" ht="15.75" thickBot="1" x14ac:dyDescent="0.3">
      <c r="A75" s="41"/>
      <c r="B75" s="171" t="s">
        <v>510</v>
      </c>
      <c r="C75" s="171" t="s">
        <v>511</v>
      </c>
      <c r="D75" s="42">
        <f>VLOOKUP(B75,'BASE DE DATOS'!$B$3:$E$106,2,FALSE)</f>
        <v>32.049999999999997</v>
      </c>
      <c r="E75" s="42">
        <f>VLOOKUP(B75,'BASE DE DATOS'!$B$3:$E$106,4,FALSE)</f>
        <v>1.1999999999999957</v>
      </c>
      <c r="F75" s="42">
        <f>VLOOKUP(C75,'BASE DE DATOS'!$B$3:$E$106,2,FALSE)</f>
        <v>32.07</v>
      </c>
      <c r="G75" s="42">
        <f>VLOOKUP(C75,'BASE DE DATOS'!$B$3:$E$106,4,FALSE)</f>
        <v>1.5199999999999996</v>
      </c>
      <c r="H75" s="43">
        <f t="shared" si="135"/>
        <v>1.3599999999999977</v>
      </c>
      <c r="I75" s="171">
        <v>44.73</v>
      </c>
      <c r="J75" s="44">
        <f t="shared" si="132"/>
        <v>44.73</v>
      </c>
      <c r="K75" s="40">
        <f t="shared" si="133"/>
        <v>43.13</v>
      </c>
      <c r="L75" s="40">
        <f t="shared" si="134"/>
        <v>43.53</v>
      </c>
      <c r="M75" s="44">
        <f t="shared" si="376"/>
        <v>200</v>
      </c>
      <c r="N75" s="40">
        <f t="shared" si="377"/>
        <v>44.73</v>
      </c>
      <c r="O75" s="171" t="s">
        <v>120</v>
      </c>
      <c r="P75" s="19">
        <v>187.6</v>
      </c>
      <c r="Q75" s="171" t="s">
        <v>123</v>
      </c>
      <c r="R75" s="171" t="s">
        <v>133</v>
      </c>
      <c r="S75" s="171" t="s">
        <v>147</v>
      </c>
      <c r="T75" s="171" t="s">
        <v>146</v>
      </c>
      <c r="V75" s="51" t="str">
        <f t="shared" si="256"/>
        <v>-</v>
      </c>
      <c r="W75" s="52" t="str">
        <f t="shared" si="257"/>
        <v>-</v>
      </c>
      <c r="X75" s="52" t="str">
        <f t="shared" si="258"/>
        <v>-</v>
      </c>
      <c r="Y75" s="52">
        <f t="shared" si="259"/>
        <v>43.13</v>
      </c>
      <c r="Z75" s="52" t="str">
        <f t="shared" si="260"/>
        <v>-</v>
      </c>
      <c r="AA75" s="52" t="str">
        <f t="shared" si="261"/>
        <v>-</v>
      </c>
      <c r="AB75" s="52" t="str">
        <f t="shared" si="262"/>
        <v>-</v>
      </c>
      <c r="AC75" s="52" t="str">
        <f t="shared" si="263"/>
        <v>-</v>
      </c>
      <c r="AD75" s="52" t="str">
        <f t="shared" si="264"/>
        <v>-</v>
      </c>
      <c r="AE75" s="52" t="str">
        <f t="shared" si="265"/>
        <v>-</v>
      </c>
      <c r="AF75" s="52" t="str">
        <f t="shared" si="266"/>
        <v>-</v>
      </c>
      <c r="AG75" s="52" t="str">
        <f t="shared" si="267"/>
        <v>-</v>
      </c>
      <c r="AH75" s="52" t="str">
        <f t="shared" si="268"/>
        <v>-</v>
      </c>
      <c r="AI75" s="52" t="str">
        <f t="shared" si="269"/>
        <v>-</v>
      </c>
      <c r="AJ75" s="52" t="str">
        <f t="shared" si="270"/>
        <v>-</v>
      </c>
      <c r="AK75" s="52" t="str">
        <f t="shared" si="271"/>
        <v>-</v>
      </c>
      <c r="AL75" s="52" t="str">
        <f t="shared" si="272"/>
        <v>-</v>
      </c>
      <c r="AM75" s="53" t="str">
        <f t="shared" si="273"/>
        <v>-</v>
      </c>
      <c r="AN75" s="51" t="str">
        <f t="shared" si="274"/>
        <v>-</v>
      </c>
      <c r="AO75" s="52" t="str">
        <f t="shared" si="275"/>
        <v>-</v>
      </c>
      <c r="AP75" s="52" t="str">
        <f t="shared" si="276"/>
        <v>-</v>
      </c>
      <c r="AQ75" s="52" t="str">
        <f t="shared" si="277"/>
        <v>-</v>
      </c>
      <c r="AR75" s="52" t="str">
        <f t="shared" si="278"/>
        <v>-</v>
      </c>
      <c r="AS75" s="52" t="str">
        <f t="shared" si="279"/>
        <v>-</v>
      </c>
      <c r="AT75" s="52" t="str">
        <f t="shared" si="280"/>
        <v>-</v>
      </c>
      <c r="AU75" s="52" t="str">
        <f t="shared" si="281"/>
        <v>-</v>
      </c>
      <c r="AV75" s="52" t="str">
        <f t="shared" si="282"/>
        <v>-</v>
      </c>
      <c r="AW75" s="52" t="str">
        <f t="shared" si="283"/>
        <v>-</v>
      </c>
      <c r="AX75" s="52" t="str">
        <f t="shared" si="284"/>
        <v>-</v>
      </c>
      <c r="AY75" s="52" t="str">
        <f t="shared" si="285"/>
        <v>-</v>
      </c>
      <c r="AZ75" s="52" t="str">
        <f t="shared" si="286"/>
        <v>-</v>
      </c>
      <c r="BA75" s="52" t="str">
        <f t="shared" si="287"/>
        <v>-</v>
      </c>
      <c r="BB75" s="52" t="str">
        <f t="shared" si="288"/>
        <v>-</v>
      </c>
      <c r="BC75" s="52" t="str">
        <f t="shared" si="289"/>
        <v>-</v>
      </c>
      <c r="BD75" s="52" t="str">
        <f t="shared" si="290"/>
        <v>-</v>
      </c>
      <c r="BE75" s="53" t="str">
        <f t="shared" si="291"/>
        <v>-</v>
      </c>
      <c r="BF75" s="51" t="str">
        <f t="shared" si="292"/>
        <v>-</v>
      </c>
      <c r="BG75" s="52" t="str">
        <f t="shared" si="293"/>
        <v>-</v>
      </c>
      <c r="BH75" s="52" t="str">
        <f t="shared" si="294"/>
        <v>-</v>
      </c>
      <c r="BI75" s="52" t="str">
        <f t="shared" si="295"/>
        <v>-</v>
      </c>
      <c r="BJ75" s="52" t="str">
        <f t="shared" si="296"/>
        <v>-</v>
      </c>
      <c r="BK75" s="52" t="str">
        <f t="shared" si="297"/>
        <v>-</v>
      </c>
      <c r="BL75" s="52" t="str">
        <f t="shared" si="298"/>
        <v>-</v>
      </c>
      <c r="BM75" s="52" t="str">
        <f t="shared" si="299"/>
        <v>-</v>
      </c>
      <c r="BN75" s="52" t="str">
        <f t="shared" si="300"/>
        <v>-</v>
      </c>
      <c r="BO75" s="52" t="str">
        <f t="shared" si="301"/>
        <v>-</v>
      </c>
      <c r="BP75" s="52" t="str">
        <f t="shared" si="302"/>
        <v>-</v>
      </c>
      <c r="BQ75" s="52" t="str">
        <f t="shared" si="303"/>
        <v>-</v>
      </c>
      <c r="BR75" s="52" t="str">
        <f t="shared" si="304"/>
        <v>-</v>
      </c>
      <c r="BS75" s="52" t="str">
        <f t="shared" si="305"/>
        <v>-</v>
      </c>
      <c r="BT75" s="52" t="str">
        <f t="shared" si="306"/>
        <v>-</v>
      </c>
      <c r="BU75" s="52" t="str">
        <f t="shared" si="307"/>
        <v>-</v>
      </c>
      <c r="BV75" s="52" t="str">
        <f t="shared" si="308"/>
        <v>-</v>
      </c>
      <c r="BW75" s="53" t="str">
        <f t="shared" si="309"/>
        <v>-</v>
      </c>
      <c r="BX75" s="51" t="str">
        <f t="shared" si="310"/>
        <v>-</v>
      </c>
      <c r="BY75" s="52" t="str">
        <f t="shared" si="311"/>
        <v>-</v>
      </c>
      <c r="BZ75" s="52" t="str">
        <f t="shared" si="312"/>
        <v>-</v>
      </c>
      <c r="CA75" s="52" t="str">
        <f t="shared" si="313"/>
        <v>-</v>
      </c>
      <c r="CB75" s="52" t="str">
        <f t="shared" si="314"/>
        <v>-</v>
      </c>
      <c r="CC75" s="52" t="str">
        <f t="shared" si="315"/>
        <v>-</v>
      </c>
      <c r="CD75" s="52" t="str">
        <f t="shared" si="316"/>
        <v>-</v>
      </c>
      <c r="CE75" s="52" t="str">
        <f t="shared" si="317"/>
        <v>-</v>
      </c>
      <c r="CF75" s="52" t="str">
        <f t="shared" si="318"/>
        <v>-</v>
      </c>
      <c r="CG75" s="52" t="str">
        <f t="shared" si="319"/>
        <v>-</v>
      </c>
      <c r="CH75" s="52" t="str">
        <f t="shared" si="320"/>
        <v>-</v>
      </c>
      <c r="CI75" s="52" t="str">
        <f t="shared" si="321"/>
        <v>-</v>
      </c>
      <c r="CJ75" s="52" t="str">
        <f t="shared" si="322"/>
        <v>-</v>
      </c>
      <c r="CK75" s="52" t="str">
        <f t="shared" si="323"/>
        <v>-</v>
      </c>
      <c r="CL75" s="52" t="str">
        <f t="shared" si="324"/>
        <v>-</v>
      </c>
      <c r="CM75" s="52" t="str">
        <f t="shared" si="325"/>
        <v>-</v>
      </c>
      <c r="CN75" s="52" t="str">
        <f t="shared" si="326"/>
        <v>-</v>
      </c>
      <c r="CO75" s="53" t="str">
        <f t="shared" si="327"/>
        <v>-</v>
      </c>
      <c r="CQ75" s="305" t="str">
        <f t="shared" si="378"/>
        <v>-</v>
      </c>
      <c r="CR75" s="305">
        <f t="shared" si="379"/>
        <v>44.73</v>
      </c>
      <c r="CS75" s="305" t="str">
        <f t="shared" si="380"/>
        <v>-</v>
      </c>
      <c r="CT75" s="305" t="str">
        <f t="shared" si="381"/>
        <v>-</v>
      </c>
      <c r="CU75" s="305" t="str">
        <f t="shared" si="382"/>
        <v>-</v>
      </c>
      <c r="CV75" s="305" t="str">
        <f t="shared" si="383"/>
        <v>-</v>
      </c>
      <c r="CX75" s="51" t="str">
        <f t="shared" si="328"/>
        <v>-</v>
      </c>
      <c r="CY75" s="52">
        <f t="shared" si="329"/>
        <v>43.53</v>
      </c>
      <c r="CZ75" s="53" t="str">
        <f t="shared" si="330"/>
        <v>-</v>
      </c>
      <c r="DA75" s="51" t="str">
        <f t="shared" si="331"/>
        <v>-</v>
      </c>
      <c r="DB75" s="52" t="str">
        <f t="shared" si="332"/>
        <v>-</v>
      </c>
      <c r="DC75" s="53" t="str">
        <f t="shared" si="333"/>
        <v>-</v>
      </c>
      <c r="DD75" s="57"/>
      <c r="DE75" s="106" t="str">
        <f t="shared" si="334"/>
        <v>-</v>
      </c>
      <c r="DF75" s="107" t="str">
        <f t="shared" si="335"/>
        <v>-</v>
      </c>
      <c r="DG75" s="107" t="str">
        <f t="shared" si="336"/>
        <v>-</v>
      </c>
      <c r="DH75" s="107" t="str">
        <f t="shared" si="337"/>
        <v>-</v>
      </c>
      <c r="DI75" s="107" t="str">
        <f t="shared" si="338"/>
        <v>-</v>
      </c>
      <c r="DJ75" s="107" t="str">
        <f t="shared" si="339"/>
        <v>-</v>
      </c>
      <c r="DK75" s="107" t="str">
        <f t="shared" si="340"/>
        <v>-</v>
      </c>
      <c r="DL75" s="107" t="str">
        <f t="shared" si="341"/>
        <v>-</v>
      </c>
      <c r="DM75" s="108" t="str">
        <f t="shared" si="342"/>
        <v>-</v>
      </c>
      <c r="DO75" s="106" t="str">
        <f t="shared" si="343"/>
        <v>-</v>
      </c>
      <c r="DP75" s="107" t="str">
        <f t="shared" si="344"/>
        <v>-</v>
      </c>
      <c r="DQ75" s="107" t="str">
        <f t="shared" si="345"/>
        <v>-</v>
      </c>
      <c r="DR75" s="107" t="str">
        <f t="shared" si="346"/>
        <v>-</v>
      </c>
      <c r="DS75" s="107" t="str">
        <f t="shared" si="347"/>
        <v>-</v>
      </c>
      <c r="DT75" s="107" t="str">
        <f t="shared" si="348"/>
        <v>-</v>
      </c>
      <c r="DU75" s="107" t="str">
        <f t="shared" si="349"/>
        <v>-</v>
      </c>
      <c r="DV75" s="107" t="str">
        <f t="shared" si="350"/>
        <v>-</v>
      </c>
      <c r="DW75" s="108" t="str">
        <f t="shared" si="351"/>
        <v>-</v>
      </c>
      <c r="DX75" s="109" t="str">
        <f t="shared" si="352"/>
        <v>-</v>
      </c>
      <c r="DY75" s="110" t="str">
        <f t="shared" si="353"/>
        <v>-</v>
      </c>
      <c r="DZ75" s="110" t="str">
        <f t="shared" si="354"/>
        <v>-</v>
      </c>
      <c r="EA75" s="110">
        <f t="shared" si="355"/>
        <v>44.73</v>
      </c>
      <c r="EB75" s="110" t="str">
        <f t="shared" si="356"/>
        <v>-</v>
      </c>
      <c r="EC75" s="110" t="str">
        <f t="shared" si="357"/>
        <v>-</v>
      </c>
      <c r="ED75" s="110" t="str">
        <f t="shared" si="358"/>
        <v>-</v>
      </c>
      <c r="EE75" s="110" t="str">
        <f t="shared" si="359"/>
        <v>-</v>
      </c>
      <c r="EF75" s="111" t="str">
        <f t="shared" si="360"/>
        <v>-</v>
      </c>
      <c r="EG75" s="109" t="str">
        <f t="shared" si="361"/>
        <v>-</v>
      </c>
      <c r="EH75" s="110" t="str">
        <f t="shared" si="362"/>
        <v>-</v>
      </c>
      <c r="EI75" s="110" t="str">
        <f t="shared" si="363"/>
        <v>-</v>
      </c>
      <c r="EJ75" s="110" t="str">
        <f t="shared" si="364"/>
        <v>-</v>
      </c>
      <c r="EK75" s="110" t="str">
        <f t="shared" si="365"/>
        <v>-</v>
      </c>
      <c r="EL75" s="110" t="str">
        <f t="shared" si="366"/>
        <v>-</v>
      </c>
      <c r="EM75" s="110" t="str">
        <f t="shared" si="367"/>
        <v>-</v>
      </c>
      <c r="EN75" s="110" t="str">
        <f t="shared" si="368"/>
        <v>-</v>
      </c>
      <c r="EO75" s="111" t="str">
        <f t="shared" si="369"/>
        <v>-</v>
      </c>
      <c r="EQ75" s="118">
        <f t="shared" si="370"/>
        <v>43.53</v>
      </c>
      <c r="ER75" s="119" t="str">
        <f t="shared" si="371"/>
        <v>-</v>
      </c>
      <c r="ES75" s="120" t="str">
        <f t="shared" si="372"/>
        <v>-</v>
      </c>
      <c r="ET75" s="90">
        <v>2</v>
      </c>
      <c r="EU75" s="118">
        <f t="shared" si="373"/>
        <v>2</v>
      </c>
      <c r="EV75" s="119" t="str">
        <f t="shared" si="374"/>
        <v>-</v>
      </c>
      <c r="EW75" s="120" t="str">
        <f t="shared" si="375"/>
        <v>-</v>
      </c>
    </row>
    <row r="76" spans="1:153" ht="15.75" thickBot="1" x14ac:dyDescent="0.3">
      <c r="A76" s="41"/>
      <c r="B76" s="171" t="s">
        <v>511</v>
      </c>
      <c r="C76" s="171" t="s">
        <v>518</v>
      </c>
      <c r="D76" s="42">
        <f>VLOOKUP(B76,'BASE DE DATOS'!$B$3:$E$106,2,FALSE)</f>
        <v>32.07</v>
      </c>
      <c r="E76" s="42">
        <f>VLOOKUP(B76,'BASE DE DATOS'!$B$3:$E$106,4,FALSE)</f>
        <v>1.5199999999999996</v>
      </c>
      <c r="F76" s="42">
        <f>VLOOKUP(C76,'BASE DE DATOS'!$B$3:$E$106,2,FALSE)</f>
        <v>32.15</v>
      </c>
      <c r="G76" s="42">
        <f>VLOOKUP(C76,'BASE DE DATOS'!$B$3:$E$106,4,FALSE)</f>
        <v>2.3499999999999979</v>
      </c>
      <c r="H76" s="43">
        <f t="shared" si="135"/>
        <v>1.9349999999999987</v>
      </c>
      <c r="I76" s="171">
        <v>52.87</v>
      </c>
      <c r="J76" s="40">
        <f t="shared" si="132"/>
        <v>52.88</v>
      </c>
      <c r="K76" s="40">
        <f t="shared" si="133"/>
        <v>51.28</v>
      </c>
      <c r="L76" s="40">
        <f t="shared" si="134"/>
        <v>51.68</v>
      </c>
      <c r="M76" s="44">
        <f t="shared" si="376"/>
        <v>200</v>
      </c>
      <c r="N76" s="40">
        <f t="shared" si="377"/>
        <v>52.87</v>
      </c>
      <c r="O76" s="171" t="s">
        <v>120</v>
      </c>
      <c r="P76" s="19">
        <v>187.6</v>
      </c>
      <c r="Q76" s="171" t="s">
        <v>122</v>
      </c>
      <c r="R76" s="171" t="s">
        <v>133</v>
      </c>
      <c r="S76" s="171" t="s">
        <v>147</v>
      </c>
      <c r="T76" s="171" t="s">
        <v>146</v>
      </c>
      <c r="V76" s="51" t="str">
        <f t="shared" si="256"/>
        <v>-</v>
      </c>
      <c r="W76" s="52" t="str">
        <f t="shared" si="257"/>
        <v>-</v>
      </c>
      <c r="X76" s="52" t="str">
        <f t="shared" si="258"/>
        <v>-</v>
      </c>
      <c r="Y76" s="52" t="str">
        <f t="shared" si="259"/>
        <v>-</v>
      </c>
      <c r="Z76" s="52" t="str">
        <f t="shared" si="260"/>
        <v>-</v>
      </c>
      <c r="AA76" s="52" t="str">
        <f t="shared" si="261"/>
        <v>-</v>
      </c>
      <c r="AB76" s="52">
        <f t="shared" si="262"/>
        <v>51.28</v>
      </c>
      <c r="AC76" s="52" t="str">
        <f t="shared" si="263"/>
        <v>-</v>
      </c>
      <c r="AD76" s="52" t="str">
        <f t="shared" si="264"/>
        <v>-</v>
      </c>
      <c r="AE76" s="52" t="str">
        <f t="shared" si="265"/>
        <v>-</v>
      </c>
      <c r="AF76" s="52" t="str">
        <f t="shared" si="266"/>
        <v>-</v>
      </c>
      <c r="AG76" s="52" t="str">
        <f t="shared" si="267"/>
        <v>-</v>
      </c>
      <c r="AH76" s="52" t="str">
        <f t="shared" si="268"/>
        <v>-</v>
      </c>
      <c r="AI76" s="52" t="str">
        <f t="shared" si="269"/>
        <v>-</v>
      </c>
      <c r="AJ76" s="52" t="str">
        <f t="shared" si="270"/>
        <v>-</v>
      </c>
      <c r="AK76" s="52" t="str">
        <f t="shared" si="271"/>
        <v>-</v>
      </c>
      <c r="AL76" s="52" t="str">
        <f t="shared" si="272"/>
        <v>-</v>
      </c>
      <c r="AM76" s="53" t="str">
        <f t="shared" si="273"/>
        <v>-</v>
      </c>
      <c r="AN76" s="51" t="str">
        <f t="shared" si="274"/>
        <v>-</v>
      </c>
      <c r="AO76" s="52" t="str">
        <f t="shared" si="275"/>
        <v>-</v>
      </c>
      <c r="AP76" s="52" t="str">
        <f t="shared" si="276"/>
        <v>-</v>
      </c>
      <c r="AQ76" s="52" t="str">
        <f t="shared" si="277"/>
        <v>-</v>
      </c>
      <c r="AR76" s="52" t="str">
        <f t="shared" si="278"/>
        <v>-</v>
      </c>
      <c r="AS76" s="52" t="str">
        <f t="shared" si="279"/>
        <v>-</v>
      </c>
      <c r="AT76" s="52" t="str">
        <f t="shared" si="280"/>
        <v>-</v>
      </c>
      <c r="AU76" s="52" t="str">
        <f t="shared" si="281"/>
        <v>-</v>
      </c>
      <c r="AV76" s="52" t="str">
        <f t="shared" si="282"/>
        <v>-</v>
      </c>
      <c r="AW76" s="52" t="str">
        <f t="shared" si="283"/>
        <v>-</v>
      </c>
      <c r="AX76" s="52" t="str">
        <f t="shared" si="284"/>
        <v>-</v>
      </c>
      <c r="AY76" s="52" t="str">
        <f t="shared" si="285"/>
        <v>-</v>
      </c>
      <c r="AZ76" s="52" t="str">
        <f t="shared" si="286"/>
        <v>-</v>
      </c>
      <c r="BA76" s="52" t="str">
        <f t="shared" si="287"/>
        <v>-</v>
      </c>
      <c r="BB76" s="52" t="str">
        <f t="shared" si="288"/>
        <v>-</v>
      </c>
      <c r="BC76" s="52" t="str">
        <f t="shared" si="289"/>
        <v>-</v>
      </c>
      <c r="BD76" s="52" t="str">
        <f t="shared" si="290"/>
        <v>-</v>
      </c>
      <c r="BE76" s="53" t="str">
        <f t="shared" si="291"/>
        <v>-</v>
      </c>
      <c r="BF76" s="51" t="str">
        <f t="shared" si="292"/>
        <v>-</v>
      </c>
      <c r="BG76" s="52" t="str">
        <f t="shared" si="293"/>
        <v>-</v>
      </c>
      <c r="BH76" s="52" t="str">
        <f t="shared" si="294"/>
        <v>-</v>
      </c>
      <c r="BI76" s="52" t="str">
        <f t="shared" si="295"/>
        <v>-</v>
      </c>
      <c r="BJ76" s="52" t="str">
        <f t="shared" si="296"/>
        <v>-</v>
      </c>
      <c r="BK76" s="52" t="str">
        <f t="shared" si="297"/>
        <v>-</v>
      </c>
      <c r="BL76" s="52" t="str">
        <f t="shared" si="298"/>
        <v>-</v>
      </c>
      <c r="BM76" s="52" t="str">
        <f t="shared" si="299"/>
        <v>-</v>
      </c>
      <c r="BN76" s="52" t="str">
        <f t="shared" si="300"/>
        <v>-</v>
      </c>
      <c r="BO76" s="52" t="str">
        <f t="shared" si="301"/>
        <v>-</v>
      </c>
      <c r="BP76" s="52" t="str">
        <f t="shared" si="302"/>
        <v>-</v>
      </c>
      <c r="BQ76" s="52" t="str">
        <f t="shared" si="303"/>
        <v>-</v>
      </c>
      <c r="BR76" s="52" t="str">
        <f t="shared" si="304"/>
        <v>-</v>
      </c>
      <c r="BS76" s="52" t="str">
        <f t="shared" si="305"/>
        <v>-</v>
      </c>
      <c r="BT76" s="52" t="str">
        <f t="shared" si="306"/>
        <v>-</v>
      </c>
      <c r="BU76" s="52" t="str">
        <f t="shared" si="307"/>
        <v>-</v>
      </c>
      <c r="BV76" s="52" t="str">
        <f t="shared" si="308"/>
        <v>-</v>
      </c>
      <c r="BW76" s="53" t="str">
        <f t="shared" si="309"/>
        <v>-</v>
      </c>
      <c r="BX76" s="51" t="str">
        <f t="shared" si="310"/>
        <v>-</v>
      </c>
      <c r="BY76" s="52" t="str">
        <f t="shared" si="311"/>
        <v>-</v>
      </c>
      <c r="BZ76" s="52" t="str">
        <f t="shared" si="312"/>
        <v>-</v>
      </c>
      <c r="CA76" s="52" t="str">
        <f t="shared" si="313"/>
        <v>-</v>
      </c>
      <c r="CB76" s="52" t="str">
        <f t="shared" si="314"/>
        <v>-</v>
      </c>
      <c r="CC76" s="52" t="str">
        <f t="shared" si="315"/>
        <v>-</v>
      </c>
      <c r="CD76" s="52" t="str">
        <f t="shared" si="316"/>
        <v>-</v>
      </c>
      <c r="CE76" s="52" t="str">
        <f t="shared" si="317"/>
        <v>-</v>
      </c>
      <c r="CF76" s="52" t="str">
        <f t="shared" si="318"/>
        <v>-</v>
      </c>
      <c r="CG76" s="52" t="str">
        <f t="shared" si="319"/>
        <v>-</v>
      </c>
      <c r="CH76" s="52" t="str">
        <f t="shared" si="320"/>
        <v>-</v>
      </c>
      <c r="CI76" s="52" t="str">
        <f t="shared" si="321"/>
        <v>-</v>
      </c>
      <c r="CJ76" s="52" t="str">
        <f t="shared" si="322"/>
        <v>-</v>
      </c>
      <c r="CK76" s="52" t="str">
        <f t="shared" si="323"/>
        <v>-</v>
      </c>
      <c r="CL76" s="52" t="str">
        <f t="shared" si="324"/>
        <v>-</v>
      </c>
      <c r="CM76" s="52" t="str">
        <f t="shared" si="325"/>
        <v>-</v>
      </c>
      <c r="CN76" s="52" t="str">
        <f t="shared" si="326"/>
        <v>-</v>
      </c>
      <c r="CO76" s="53" t="str">
        <f t="shared" si="327"/>
        <v>-</v>
      </c>
      <c r="CQ76" s="305" t="str">
        <f t="shared" si="378"/>
        <v>-</v>
      </c>
      <c r="CR76" s="305">
        <f t="shared" si="379"/>
        <v>52.87</v>
      </c>
      <c r="CS76" s="305" t="str">
        <f t="shared" si="380"/>
        <v>-</v>
      </c>
      <c r="CT76" s="305" t="str">
        <f t="shared" si="381"/>
        <v>-</v>
      </c>
      <c r="CU76" s="305" t="str">
        <f t="shared" si="382"/>
        <v>-</v>
      </c>
      <c r="CV76" s="305" t="str">
        <f t="shared" si="383"/>
        <v>-</v>
      </c>
      <c r="CX76" s="51">
        <f t="shared" si="328"/>
        <v>51.68</v>
      </c>
      <c r="CY76" s="52" t="str">
        <f t="shared" si="329"/>
        <v>-</v>
      </c>
      <c r="CZ76" s="53" t="str">
        <f t="shared" si="330"/>
        <v>-</v>
      </c>
      <c r="DA76" s="51" t="str">
        <f t="shared" si="331"/>
        <v>-</v>
      </c>
      <c r="DB76" s="52" t="str">
        <f t="shared" si="332"/>
        <v>-</v>
      </c>
      <c r="DC76" s="53" t="str">
        <f t="shared" si="333"/>
        <v>-</v>
      </c>
      <c r="DD76" s="57"/>
      <c r="DE76" s="106" t="str">
        <f t="shared" si="334"/>
        <v>-</v>
      </c>
      <c r="DF76" s="107" t="str">
        <f t="shared" si="335"/>
        <v>-</v>
      </c>
      <c r="DG76" s="107" t="str">
        <f t="shared" si="336"/>
        <v>-</v>
      </c>
      <c r="DH76" s="107">
        <f t="shared" si="337"/>
        <v>51.68</v>
      </c>
      <c r="DI76" s="107" t="str">
        <f t="shared" si="338"/>
        <v>-</v>
      </c>
      <c r="DJ76" s="107" t="str">
        <f t="shared" si="339"/>
        <v>-</v>
      </c>
      <c r="DK76" s="107" t="str">
        <f t="shared" si="340"/>
        <v>-</v>
      </c>
      <c r="DL76" s="107" t="str">
        <f t="shared" si="341"/>
        <v>-</v>
      </c>
      <c r="DM76" s="108" t="str">
        <f t="shared" si="342"/>
        <v>-</v>
      </c>
      <c r="DO76" s="106" t="str">
        <f t="shared" si="343"/>
        <v>-</v>
      </c>
      <c r="DP76" s="107" t="str">
        <f t="shared" si="344"/>
        <v>-</v>
      </c>
      <c r="DQ76" s="107" t="str">
        <f t="shared" si="345"/>
        <v>-</v>
      </c>
      <c r="DR76" s="107">
        <f t="shared" si="346"/>
        <v>51.68</v>
      </c>
      <c r="DS76" s="107" t="str">
        <f t="shared" si="347"/>
        <v>-</v>
      </c>
      <c r="DT76" s="107" t="str">
        <f t="shared" si="348"/>
        <v>-</v>
      </c>
      <c r="DU76" s="107" t="str">
        <f t="shared" si="349"/>
        <v>-</v>
      </c>
      <c r="DV76" s="107" t="str">
        <f t="shared" si="350"/>
        <v>-</v>
      </c>
      <c r="DW76" s="108" t="str">
        <f t="shared" si="351"/>
        <v>-</v>
      </c>
      <c r="DX76" s="109" t="str">
        <f t="shared" si="352"/>
        <v>-</v>
      </c>
      <c r="DY76" s="110" t="str">
        <f t="shared" si="353"/>
        <v>-</v>
      </c>
      <c r="DZ76" s="110" t="str">
        <f t="shared" si="354"/>
        <v>-</v>
      </c>
      <c r="EA76" s="110" t="str">
        <f t="shared" si="355"/>
        <v>-</v>
      </c>
      <c r="EB76" s="110" t="str">
        <f t="shared" si="356"/>
        <v>-</v>
      </c>
      <c r="EC76" s="110" t="str">
        <f t="shared" si="357"/>
        <v>-</v>
      </c>
      <c r="ED76" s="110" t="str">
        <f t="shared" si="358"/>
        <v>-</v>
      </c>
      <c r="EE76" s="110" t="str">
        <f t="shared" si="359"/>
        <v>-</v>
      </c>
      <c r="EF76" s="111" t="str">
        <f t="shared" si="360"/>
        <v>-</v>
      </c>
      <c r="EG76" s="109" t="str">
        <f t="shared" si="361"/>
        <v>-</v>
      </c>
      <c r="EH76" s="110" t="str">
        <f t="shared" si="362"/>
        <v>-</v>
      </c>
      <c r="EI76" s="110" t="str">
        <f t="shared" si="363"/>
        <v>-</v>
      </c>
      <c r="EJ76" s="110" t="str">
        <f t="shared" si="364"/>
        <v>-</v>
      </c>
      <c r="EK76" s="110" t="str">
        <f t="shared" si="365"/>
        <v>-</v>
      </c>
      <c r="EL76" s="110" t="str">
        <f t="shared" si="366"/>
        <v>-</v>
      </c>
      <c r="EM76" s="110" t="str">
        <f t="shared" si="367"/>
        <v>-</v>
      </c>
      <c r="EN76" s="110" t="str">
        <f t="shared" si="368"/>
        <v>-</v>
      </c>
      <c r="EO76" s="111" t="str">
        <f t="shared" si="369"/>
        <v>-</v>
      </c>
      <c r="EQ76" s="118">
        <f t="shared" si="370"/>
        <v>51.68</v>
      </c>
      <c r="ER76" s="119" t="str">
        <f t="shared" si="371"/>
        <v>-</v>
      </c>
      <c r="ES76" s="120" t="str">
        <f t="shared" si="372"/>
        <v>-</v>
      </c>
      <c r="ET76" s="90">
        <v>2</v>
      </c>
      <c r="EU76" s="118">
        <f t="shared" si="373"/>
        <v>2</v>
      </c>
      <c r="EV76" s="119" t="str">
        <f t="shared" si="374"/>
        <v>-</v>
      </c>
      <c r="EW76" s="120" t="str">
        <f t="shared" si="375"/>
        <v>-</v>
      </c>
    </row>
    <row r="77" spans="1:153" ht="15.75" thickBot="1" x14ac:dyDescent="0.3">
      <c r="A77" s="41"/>
      <c r="B77" s="171" t="s">
        <v>512</v>
      </c>
      <c r="C77" s="171" t="s">
        <v>515</v>
      </c>
      <c r="D77" s="42">
        <f>VLOOKUP(B77,'BASE DE DATOS'!$B$3:$E$106,2,FALSE)</f>
        <v>32.28</v>
      </c>
      <c r="E77" s="42">
        <f>VLOOKUP(B77,'BASE DE DATOS'!$B$3:$E$106,4,FALSE)</f>
        <v>1.240000000000002</v>
      </c>
      <c r="F77" s="42">
        <f>VLOOKUP(C77,'BASE DE DATOS'!$B$3:$E$106,2,FALSE)</f>
        <v>32.35</v>
      </c>
      <c r="G77" s="42">
        <f>VLOOKUP(C77,'BASE DE DATOS'!$B$3:$E$106,4,FALSE)</f>
        <v>1.5300000000000011</v>
      </c>
      <c r="H77" s="43">
        <f t="shared" si="135"/>
        <v>1.3850000000000016</v>
      </c>
      <c r="I77" s="171">
        <v>18.52</v>
      </c>
      <c r="J77" s="44">
        <f t="shared" si="132"/>
        <v>18.52</v>
      </c>
      <c r="K77" s="40">
        <f t="shared" si="133"/>
        <v>16.920000000000002</v>
      </c>
      <c r="L77" s="40">
        <f t="shared" si="134"/>
        <v>17.32</v>
      </c>
      <c r="M77" s="44">
        <f t="shared" si="376"/>
        <v>200</v>
      </c>
      <c r="N77" s="40">
        <f t="shared" si="377"/>
        <v>18.52</v>
      </c>
      <c r="O77" s="171" t="s">
        <v>120</v>
      </c>
      <c r="P77" s="19">
        <v>187.6</v>
      </c>
      <c r="Q77" s="171" t="s">
        <v>122</v>
      </c>
      <c r="R77" s="171" t="s">
        <v>133</v>
      </c>
      <c r="S77" s="171" t="s">
        <v>148</v>
      </c>
      <c r="T77" s="171" t="s">
        <v>149</v>
      </c>
      <c r="V77" s="51" t="str">
        <f t="shared" si="256"/>
        <v>-</v>
      </c>
      <c r="W77" s="52" t="str">
        <f t="shared" si="257"/>
        <v>-</v>
      </c>
      <c r="X77" s="52" t="str">
        <f t="shared" si="258"/>
        <v>-</v>
      </c>
      <c r="Y77" s="52" t="str">
        <f t="shared" si="259"/>
        <v>-</v>
      </c>
      <c r="Z77" s="52" t="str">
        <f t="shared" si="260"/>
        <v>-</v>
      </c>
      <c r="AA77" s="52" t="str">
        <f t="shared" si="261"/>
        <v>-</v>
      </c>
      <c r="AB77" s="52" t="str">
        <f t="shared" si="262"/>
        <v>-</v>
      </c>
      <c r="AC77" s="52" t="str">
        <f t="shared" si="263"/>
        <v>-</v>
      </c>
      <c r="AD77" s="52" t="str">
        <f t="shared" si="264"/>
        <v>-</v>
      </c>
      <c r="AE77" s="52" t="str">
        <f t="shared" si="265"/>
        <v>-</v>
      </c>
      <c r="AF77" s="52" t="str">
        <f t="shared" si="266"/>
        <v>-</v>
      </c>
      <c r="AG77" s="52" t="str">
        <f t="shared" si="267"/>
        <v>-</v>
      </c>
      <c r="AH77" s="52" t="str">
        <f t="shared" si="268"/>
        <v>-</v>
      </c>
      <c r="AI77" s="52" t="str">
        <f t="shared" si="269"/>
        <v>-</v>
      </c>
      <c r="AJ77" s="52" t="str">
        <f t="shared" si="270"/>
        <v>-</v>
      </c>
      <c r="AK77" s="52" t="str">
        <f t="shared" si="271"/>
        <v>-</v>
      </c>
      <c r="AL77" s="52" t="str">
        <f t="shared" si="272"/>
        <v>-</v>
      </c>
      <c r="AM77" s="53" t="str">
        <f t="shared" si="273"/>
        <v>-</v>
      </c>
      <c r="AN77" s="51" t="str">
        <f t="shared" si="274"/>
        <v>-</v>
      </c>
      <c r="AO77" s="52" t="str">
        <f t="shared" si="275"/>
        <v>-</v>
      </c>
      <c r="AP77" s="52" t="str">
        <f t="shared" si="276"/>
        <v>-</v>
      </c>
      <c r="AQ77" s="52" t="str">
        <f t="shared" si="277"/>
        <v>-</v>
      </c>
      <c r="AR77" s="52" t="str">
        <f t="shared" si="278"/>
        <v>-</v>
      </c>
      <c r="AS77" s="52" t="str">
        <f t="shared" si="279"/>
        <v>-</v>
      </c>
      <c r="AT77" s="52" t="str">
        <f t="shared" si="280"/>
        <v>-</v>
      </c>
      <c r="AU77" s="52" t="str">
        <f t="shared" si="281"/>
        <v>-</v>
      </c>
      <c r="AV77" s="52" t="str">
        <f t="shared" si="282"/>
        <v>-</v>
      </c>
      <c r="AW77" s="52" t="str">
        <f t="shared" si="283"/>
        <v>-</v>
      </c>
      <c r="AX77" s="52" t="str">
        <f t="shared" si="284"/>
        <v>-</v>
      </c>
      <c r="AY77" s="52" t="str">
        <f t="shared" si="285"/>
        <v>-</v>
      </c>
      <c r="AZ77" s="52" t="str">
        <f t="shared" si="286"/>
        <v>-</v>
      </c>
      <c r="BA77" s="52" t="str">
        <f t="shared" si="287"/>
        <v>-</v>
      </c>
      <c r="BB77" s="52" t="str">
        <f t="shared" si="288"/>
        <v>-</v>
      </c>
      <c r="BC77" s="52" t="str">
        <f t="shared" si="289"/>
        <v>-</v>
      </c>
      <c r="BD77" s="52" t="str">
        <f t="shared" si="290"/>
        <v>-</v>
      </c>
      <c r="BE77" s="53" t="str">
        <f t="shared" si="291"/>
        <v>-</v>
      </c>
      <c r="BF77" s="51" t="str">
        <f t="shared" si="292"/>
        <v>-</v>
      </c>
      <c r="BG77" s="52" t="str">
        <f t="shared" si="293"/>
        <v>-</v>
      </c>
      <c r="BH77" s="52">
        <f t="shared" si="294"/>
        <v>16.920000000000002</v>
      </c>
      <c r="BI77" s="52" t="str">
        <f t="shared" si="295"/>
        <v>-</v>
      </c>
      <c r="BJ77" s="52" t="str">
        <f t="shared" si="296"/>
        <v>-</v>
      </c>
      <c r="BK77" s="52" t="str">
        <f t="shared" si="297"/>
        <v>-</v>
      </c>
      <c r="BL77" s="52" t="str">
        <f t="shared" si="298"/>
        <v>-</v>
      </c>
      <c r="BM77" s="52" t="str">
        <f t="shared" si="299"/>
        <v>-</v>
      </c>
      <c r="BN77" s="52" t="str">
        <f t="shared" si="300"/>
        <v>-</v>
      </c>
      <c r="BO77" s="52" t="str">
        <f t="shared" si="301"/>
        <v>-</v>
      </c>
      <c r="BP77" s="52" t="str">
        <f t="shared" si="302"/>
        <v>-</v>
      </c>
      <c r="BQ77" s="52" t="str">
        <f t="shared" si="303"/>
        <v>-</v>
      </c>
      <c r="BR77" s="52" t="str">
        <f t="shared" si="304"/>
        <v>-</v>
      </c>
      <c r="BS77" s="52" t="str">
        <f t="shared" si="305"/>
        <v>-</v>
      </c>
      <c r="BT77" s="52" t="str">
        <f t="shared" si="306"/>
        <v>-</v>
      </c>
      <c r="BU77" s="52" t="str">
        <f t="shared" si="307"/>
        <v>-</v>
      </c>
      <c r="BV77" s="52" t="str">
        <f t="shared" si="308"/>
        <v>-</v>
      </c>
      <c r="BW77" s="53" t="str">
        <f t="shared" si="309"/>
        <v>-</v>
      </c>
      <c r="BX77" s="51" t="str">
        <f t="shared" si="310"/>
        <v>-</v>
      </c>
      <c r="BY77" s="52" t="str">
        <f t="shared" si="311"/>
        <v>-</v>
      </c>
      <c r="BZ77" s="52" t="str">
        <f t="shared" si="312"/>
        <v>-</v>
      </c>
      <c r="CA77" s="52" t="str">
        <f t="shared" si="313"/>
        <v>-</v>
      </c>
      <c r="CB77" s="52" t="str">
        <f t="shared" si="314"/>
        <v>-</v>
      </c>
      <c r="CC77" s="52" t="str">
        <f t="shared" si="315"/>
        <v>-</v>
      </c>
      <c r="CD77" s="52" t="str">
        <f t="shared" si="316"/>
        <v>-</v>
      </c>
      <c r="CE77" s="52" t="str">
        <f t="shared" si="317"/>
        <v>-</v>
      </c>
      <c r="CF77" s="52" t="str">
        <f t="shared" si="318"/>
        <v>-</v>
      </c>
      <c r="CG77" s="52" t="str">
        <f t="shared" si="319"/>
        <v>-</v>
      </c>
      <c r="CH77" s="52" t="str">
        <f t="shared" si="320"/>
        <v>-</v>
      </c>
      <c r="CI77" s="52" t="str">
        <f t="shared" si="321"/>
        <v>-</v>
      </c>
      <c r="CJ77" s="52" t="str">
        <f t="shared" si="322"/>
        <v>-</v>
      </c>
      <c r="CK77" s="52" t="str">
        <f t="shared" si="323"/>
        <v>-</v>
      </c>
      <c r="CL77" s="52" t="str">
        <f t="shared" si="324"/>
        <v>-</v>
      </c>
      <c r="CM77" s="52" t="str">
        <f t="shared" si="325"/>
        <v>-</v>
      </c>
      <c r="CN77" s="52" t="str">
        <f t="shared" si="326"/>
        <v>-</v>
      </c>
      <c r="CO77" s="53" t="str">
        <f t="shared" si="327"/>
        <v>-</v>
      </c>
      <c r="CQ77" s="305" t="str">
        <f t="shared" si="378"/>
        <v>-</v>
      </c>
      <c r="CR77" s="305" t="str">
        <f t="shared" si="379"/>
        <v>-</v>
      </c>
      <c r="CS77" s="305" t="str">
        <f t="shared" si="380"/>
        <v>-</v>
      </c>
      <c r="CT77" s="305">
        <f t="shared" si="381"/>
        <v>18.52</v>
      </c>
      <c r="CU77" s="305" t="str">
        <f t="shared" si="382"/>
        <v>-</v>
      </c>
      <c r="CV77" s="305" t="str">
        <f t="shared" si="383"/>
        <v>-</v>
      </c>
      <c r="CX77" s="51">
        <f t="shared" si="328"/>
        <v>17.32</v>
      </c>
      <c r="CY77" s="52" t="str">
        <f t="shared" si="329"/>
        <v>-</v>
      </c>
      <c r="CZ77" s="53" t="str">
        <f t="shared" si="330"/>
        <v>-</v>
      </c>
      <c r="DA77" s="51" t="str">
        <f t="shared" si="331"/>
        <v>-</v>
      </c>
      <c r="DB77" s="52" t="str">
        <f t="shared" si="332"/>
        <v>-</v>
      </c>
      <c r="DC77" s="53" t="str">
        <f t="shared" si="333"/>
        <v>-</v>
      </c>
      <c r="DD77" s="57"/>
      <c r="DE77" s="106" t="str">
        <f t="shared" si="334"/>
        <v>-</v>
      </c>
      <c r="DF77" s="107" t="str">
        <f t="shared" si="335"/>
        <v>-</v>
      </c>
      <c r="DG77" s="107" t="str">
        <f t="shared" si="336"/>
        <v>-</v>
      </c>
      <c r="DH77" s="107">
        <f t="shared" si="337"/>
        <v>17.32</v>
      </c>
      <c r="DI77" s="107" t="str">
        <f t="shared" si="338"/>
        <v>-</v>
      </c>
      <c r="DJ77" s="107" t="str">
        <f t="shared" si="339"/>
        <v>-</v>
      </c>
      <c r="DK77" s="107" t="str">
        <f t="shared" si="340"/>
        <v>-</v>
      </c>
      <c r="DL77" s="107" t="str">
        <f t="shared" si="341"/>
        <v>-</v>
      </c>
      <c r="DM77" s="108" t="str">
        <f t="shared" si="342"/>
        <v>-</v>
      </c>
      <c r="DO77" s="106" t="str">
        <f t="shared" si="343"/>
        <v>-</v>
      </c>
      <c r="DP77" s="107" t="str">
        <f t="shared" si="344"/>
        <v>-</v>
      </c>
      <c r="DQ77" s="107" t="str">
        <f t="shared" si="345"/>
        <v>-</v>
      </c>
      <c r="DR77" s="107">
        <f t="shared" si="346"/>
        <v>17.32</v>
      </c>
      <c r="DS77" s="107" t="str">
        <f t="shared" si="347"/>
        <v>-</v>
      </c>
      <c r="DT77" s="107" t="str">
        <f t="shared" si="348"/>
        <v>-</v>
      </c>
      <c r="DU77" s="107" t="str">
        <f t="shared" si="349"/>
        <v>-</v>
      </c>
      <c r="DV77" s="107" t="str">
        <f t="shared" si="350"/>
        <v>-</v>
      </c>
      <c r="DW77" s="108" t="str">
        <f t="shared" si="351"/>
        <v>-</v>
      </c>
      <c r="DX77" s="109" t="str">
        <f t="shared" si="352"/>
        <v>-</v>
      </c>
      <c r="DY77" s="110" t="str">
        <f t="shared" si="353"/>
        <v>-</v>
      </c>
      <c r="DZ77" s="110" t="str">
        <f t="shared" si="354"/>
        <v>-</v>
      </c>
      <c r="EA77" s="110" t="str">
        <f t="shared" si="355"/>
        <v>-</v>
      </c>
      <c r="EB77" s="110" t="str">
        <f t="shared" si="356"/>
        <v>-</v>
      </c>
      <c r="EC77" s="110" t="str">
        <f t="shared" si="357"/>
        <v>-</v>
      </c>
      <c r="ED77" s="110" t="str">
        <f t="shared" si="358"/>
        <v>-</v>
      </c>
      <c r="EE77" s="110" t="str">
        <f t="shared" si="359"/>
        <v>-</v>
      </c>
      <c r="EF77" s="111" t="str">
        <f t="shared" si="360"/>
        <v>-</v>
      </c>
      <c r="EG77" s="109" t="str">
        <f t="shared" si="361"/>
        <v>-</v>
      </c>
      <c r="EH77" s="110" t="str">
        <f t="shared" si="362"/>
        <v>-</v>
      </c>
      <c r="EI77" s="110" t="str">
        <f t="shared" si="363"/>
        <v>-</v>
      </c>
      <c r="EJ77" s="110" t="str">
        <f t="shared" si="364"/>
        <v>-</v>
      </c>
      <c r="EK77" s="110" t="str">
        <f t="shared" si="365"/>
        <v>-</v>
      </c>
      <c r="EL77" s="110" t="str">
        <f t="shared" si="366"/>
        <v>-</v>
      </c>
      <c r="EM77" s="110" t="str">
        <f t="shared" si="367"/>
        <v>-</v>
      </c>
      <c r="EN77" s="110" t="str">
        <f t="shared" si="368"/>
        <v>-</v>
      </c>
      <c r="EO77" s="111" t="str">
        <f t="shared" si="369"/>
        <v>-</v>
      </c>
      <c r="EQ77" s="118">
        <f t="shared" si="370"/>
        <v>17.32</v>
      </c>
      <c r="ER77" s="119" t="str">
        <f t="shared" si="371"/>
        <v>-</v>
      </c>
      <c r="ES77" s="120" t="str">
        <f t="shared" si="372"/>
        <v>-</v>
      </c>
      <c r="ET77" s="90">
        <v>2</v>
      </c>
      <c r="EU77" s="118">
        <f t="shared" si="373"/>
        <v>2</v>
      </c>
      <c r="EV77" s="119" t="str">
        <f t="shared" si="374"/>
        <v>-</v>
      </c>
      <c r="EW77" s="120" t="str">
        <f t="shared" si="375"/>
        <v>-</v>
      </c>
    </row>
    <row r="78" spans="1:153" ht="15.75" thickBot="1" x14ac:dyDescent="0.3">
      <c r="A78" s="41"/>
      <c r="B78" s="171" t="s">
        <v>513</v>
      </c>
      <c r="C78" s="171" t="s">
        <v>515</v>
      </c>
      <c r="D78" s="42">
        <f>VLOOKUP(B78,'BASE DE DATOS'!$B$3:$E$106,2,FALSE)</f>
        <v>32.64</v>
      </c>
      <c r="E78" s="42">
        <f>VLOOKUP(B78,'BASE DE DATOS'!$B$3:$E$106,4,FALSE)</f>
        <v>1.379999999999999</v>
      </c>
      <c r="F78" s="42">
        <f>VLOOKUP(C78,'BASE DE DATOS'!$B$3:$E$106,2,FALSE)</f>
        <v>32.35</v>
      </c>
      <c r="G78" s="42">
        <f>VLOOKUP(C78,'BASE DE DATOS'!$B$3:$E$106,4,FALSE)</f>
        <v>1.5300000000000011</v>
      </c>
      <c r="H78" s="43">
        <f t="shared" si="135"/>
        <v>1.4550000000000001</v>
      </c>
      <c r="I78" s="171">
        <v>44.04</v>
      </c>
      <c r="J78" s="44">
        <f t="shared" si="132"/>
        <v>44.04</v>
      </c>
      <c r="K78" s="40">
        <f t="shared" si="133"/>
        <v>42.44</v>
      </c>
      <c r="L78" s="40">
        <f t="shared" si="134"/>
        <v>42.84</v>
      </c>
      <c r="M78" s="40">
        <f t="shared" si="376"/>
        <v>200</v>
      </c>
      <c r="N78" s="40">
        <f t="shared" si="377"/>
        <v>44.04</v>
      </c>
      <c r="O78" s="171" t="s">
        <v>120</v>
      </c>
      <c r="P78" s="19">
        <v>187.6</v>
      </c>
      <c r="Q78" s="171" t="s">
        <v>122</v>
      </c>
      <c r="R78" s="171" t="s">
        <v>133</v>
      </c>
      <c r="S78" s="171" t="s">
        <v>148</v>
      </c>
      <c r="T78" s="171" t="s">
        <v>149</v>
      </c>
      <c r="V78" s="51" t="str">
        <f t="shared" si="256"/>
        <v>-</v>
      </c>
      <c r="W78" s="52" t="str">
        <f t="shared" si="257"/>
        <v>-</v>
      </c>
      <c r="X78" s="52" t="str">
        <f t="shared" si="258"/>
        <v>-</v>
      </c>
      <c r="Y78" s="52" t="str">
        <f t="shared" si="259"/>
        <v>-</v>
      </c>
      <c r="Z78" s="52" t="str">
        <f t="shared" si="260"/>
        <v>-</v>
      </c>
      <c r="AA78" s="52" t="str">
        <f t="shared" si="261"/>
        <v>-</v>
      </c>
      <c r="AB78" s="52" t="str">
        <f t="shared" si="262"/>
        <v>-</v>
      </c>
      <c r="AC78" s="52" t="str">
        <f t="shared" si="263"/>
        <v>-</v>
      </c>
      <c r="AD78" s="52" t="str">
        <f t="shared" si="264"/>
        <v>-</v>
      </c>
      <c r="AE78" s="52" t="str">
        <f t="shared" si="265"/>
        <v>-</v>
      </c>
      <c r="AF78" s="52" t="str">
        <f t="shared" si="266"/>
        <v>-</v>
      </c>
      <c r="AG78" s="52" t="str">
        <f t="shared" si="267"/>
        <v>-</v>
      </c>
      <c r="AH78" s="52" t="str">
        <f t="shared" si="268"/>
        <v>-</v>
      </c>
      <c r="AI78" s="52" t="str">
        <f t="shared" si="269"/>
        <v>-</v>
      </c>
      <c r="AJ78" s="52" t="str">
        <f t="shared" si="270"/>
        <v>-</v>
      </c>
      <c r="AK78" s="52" t="str">
        <f t="shared" si="271"/>
        <v>-</v>
      </c>
      <c r="AL78" s="52" t="str">
        <f t="shared" si="272"/>
        <v>-</v>
      </c>
      <c r="AM78" s="53" t="str">
        <f t="shared" si="273"/>
        <v>-</v>
      </c>
      <c r="AN78" s="51" t="str">
        <f t="shared" si="274"/>
        <v>-</v>
      </c>
      <c r="AO78" s="52" t="str">
        <f t="shared" si="275"/>
        <v>-</v>
      </c>
      <c r="AP78" s="52" t="str">
        <f t="shared" si="276"/>
        <v>-</v>
      </c>
      <c r="AQ78" s="52" t="str">
        <f t="shared" si="277"/>
        <v>-</v>
      </c>
      <c r="AR78" s="52" t="str">
        <f t="shared" si="278"/>
        <v>-</v>
      </c>
      <c r="AS78" s="52" t="str">
        <f t="shared" si="279"/>
        <v>-</v>
      </c>
      <c r="AT78" s="52" t="str">
        <f t="shared" si="280"/>
        <v>-</v>
      </c>
      <c r="AU78" s="52" t="str">
        <f t="shared" si="281"/>
        <v>-</v>
      </c>
      <c r="AV78" s="52" t="str">
        <f t="shared" si="282"/>
        <v>-</v>
      </c>
      <c r="AW78" s="52" t="str">
        <f t="shared" si="283"/>
        <v>-</v>
      </c>
      <c r="AX78" s="52" t="str">
        <f t="shared" si="284"/>
        <v>-</v>
      </c>
      <c r="AY78" s="52" t="str">
        <f t="shared" si="285"/>
        <v>-</v>
      </c>
      <c r="AZ78" s="52" t="str">
        <f t="shared" si="286"/>
        <v>-</v>
      </c>
      <c r="BA78" s="52" t="str">
        <f t="shared" si="287"/>
        <v>-</v>
      </c>
      <c r="BB78" s="52" t="str">
        <f t="shared" si="288"/>
        <v>-</v>
      </c>
      <c r="BC78" s="52" t="str">
        <f t="shared" si="289"/>
        <v>-</v>
      </c>
      <c r="BD78" s="52" t="str">
        <f t="shared" si="290"/>
        <v>-</v>
      </c>
      <c r="BE78" s="53" t="str">
        <f t="shared" si="291"/>
        <v>-</v>
      </c>
      <c r="BF78" s="51" t="str">
        <f t="shared" si="292"/>
        <v>-</v>
      </c>
      <c r="BG78" s="52" t="str">
        <f t="shared" si="293"/>
        <v>-</v>
      </c>
      <c r="BH78" s="52">
        <f t="shared" si="294"/>
        <v>42.44</v>
      </c>
      <c r="BI78" s="52" t="str">
        <f t="shared" si="295"/>
        <v>-</v>
      </c>
      <c r="BJ78" s="52" t="str">
        <f t="shared" si="296"/>
        <v>-</v>
      </c>
      <c r="BK78" s="52" t="str">
        <f t="shared" si="297"/>
        <v>-</v>
      </c>
      <c r="BL78" s="52" t="str">
        <f t="shared" si="298"/>
        <v>-</v>
      </c>
      <c r="BM78" s="52" t="str">
        <f t="shared" si="299"/>
        <v>-</v>
      </c>
      <c r="BN78" s="52" t="str">
        <f t="shared" si="300"/>
        <v>-</v>
      </c>
      <c r="BO78" s="52" t="str">
        <f t="shared" si="301"/>
        <v>-</v>
      </c>
      <c r="BP78" s="52" t="str">
        <f t="shared" si="302"/>
        <v>-</v>
      </c>
      <c r="BQ78" s="52" t="str">
        <f t="shared" si="303"/>
        <v>-</v>
      </c>
      <c r="BR78" s="52" t="str">
        <f t="shared" si="304"/>
        <v>-</v>
      </c>
      <c r="BS78" s="52" t="str">
        <f t="shared" si="305"/>
        <v>-</v>
      </c>
      <c r="BT78" s="52" t="str">
        <f t="shared" si="306"/>
        <v>-</v>
      </c>
      <c r="BU78" s="52" t="str">
        <f t="shared" si="307"/>
        <v>-</v>
      </c>
      <c r="BV78" s="52" t="str">
        <f t="shared" si="308"/>
        <v>-</v>
      </c>
      <c r="BW78" s="53" t="str">
        <f t="shared" si="309"/>
        <v>-</v>
      </c>
      <c r="BX78" s="51" t="str">
        <f t="shared" si="310"/>
        <v>-</v>
      </c>
      <c r="BY78" s="52" t="str">
        <f t="shared" si="311"/>
        <v>-</v>
      </c>
      <c r="BZ78" s="52" t="str">
        <f t="shared" si="312"/>
        <v>-</v>
      </c>
      <c r="CA78" s="52" t="str">
        <f t="shared" si="313"/>
        <v>-</v>
      </c>
      <c r="CB78" s="52" t="str">
        <f t="shared" si="314"/>
        <v>-</v>
      </c>
      <c r="CC78" s="52" t="str">
        <f t="shared" si="315"/>
        <v>-</v>
      </c>
      <c r="CD78" s="52" t="str">
        <f t="shared" si="316"/>
        <v>-</v>
      </c>
      <c r="CE78" s="52" t="str">
        <f t="shared" si="317"/>
        <v>-</v>
      </c>
      <c r="CF78" s="52" t="str">
        <f t="shared" si="318"/>
        <v>-</v>
      </c>
      <c r="CG78" s="52" t="str">
        <f t="shared" si="319"/>
        <v>-</v>
      </c>
      <c r="CH78" s="52" t="str">
        <f t="shared" si="320"/>
        <v>-</v>
      </c>
      <c r="CI78" s="52" t="str">
        <f t="shared" si="321"/>
        <v>-</v>
      </c>
      <c r="CJ78" s="52" t="str">
        <f t="shared" si="322"/>
        <v>-</v>
      </c>
      <c r="CK78" s="52" t="str">
        <f t="shared" si="323"/>
        <v>-</v>
      </c>
      <c r="CL78" s="52" t="str">
        <f t="shared" si="324"/>
        <v>-</v>
      </c>
      <c r="CM78" s="52" t="str">
        <f t="shared" si="325"/>
        <v>-</v>
      </c>
      <c r="CN78" s="52" t="str">
        <f t="shared" si="326"/>
        <v>-</v>
      </c>
      <c r="CO78" s="53" t="str">
        <f t="shared" si="327"/>
        <v>-</v>
      </c>
      <c r="CQ78" s="305" t="str">
        <f t="shared" si="378"/>
        <v>-</v>
      </c>
      <c r="CR78" s="305" t="str">
        <f t="shared" si="379"/>
        <v>-</v>
      </c>
      <c r="CS78" s="305" t="str">
        <f t="shared" si="380"/>
        <v>-</v>
      </c>
      <c r="CT78" s="305">
        <f t="shared" si="381"/>
        <v>44.04</v>
      </c>
      <c r="CU78" s="305" t="str">
        <f t="shared" si="382"/>
        <v>-</v>
      </c>
      <c r="CV78" s="305" t="str">
        <f t="shared" si="383"/>
        <v>-</v>
      </c>
      <c r="CX78" s="51">
        <f t="shared" si="328"/>
        <v>42.84</v>
      </c>
      <c r="CY78" s="52" t="str">
        <f t="shared" si="329"/>
        <v>-</v>
      </c>
      <c r="CZ78" s="53" t="str">
        <f t="shared" si="330"/>
        <v>-</v>
      </c>
      <c r="DA78" s="51" t="str">
        <f t="shared" si="331"/>
        <v>-</v>
      </c>
      <c r="DB78" s="52" t="str">
        <f t="shared" si="332"/>
        <v>-</v>
      </c>
      <c r="DC78" s="53" t="str">
        <f t="shared" si="333"/>
        <v>-</v>
      </c>
      <c r="DD78" s="57"/>
      <c r="DE78" s="106" t="str">
        <f t="shared" si="334"/>
        <v>-</v>
      </c>
      <c r="DF78" s="107" t="str">
        <f t="shared" si="335"/>
        <v>-</v>
      </c>
      <c r="DG78" s="107" t="str">
        <f t="shared" si="336"/>
        <v>-</v>
      </c>
      <c r="DH78" s="107">
        <f t="shared" si="337"/>
        <v>42.84</v>
      </c>
      <c r="DI78" s="107" t="str">
        <f t="shared" si="338"/>
        <v>-</v>
      </c>
      <c r="DJ78" s="107" t="str">
        <f t="shared" si="339"/>
        <v>-</v>
      </c>
      <c r="DK78" s="107" t="str">
        <f t="shared" si="340"/>
        <v>-</v>
      </c>
      <c r="DL78" s="107" t="str">
        <f t="shared" si="341"/>
        <v>-</v>
      </c>
      <c r="DM78" s="108" t="str">
        <f t="shared" si="342"/>
        <v>-</v>
      </c>
      <c r="DO78" s="106" t="str">
        <f t="shared" si="343"/>
        <v>-</v>
      </c>
      <c r="DP78" s="107" t="str">
        <f t="shared" si="344"/>
        <v>-</v>
      </c>
      <c r="DQ78" s="107" t="str">
        <f t="shared" si="345"/>
        <v>-</v>
      </c>
      <c r="DR78" s="107">
        <f t="shared" si="346"/>
        <v>42.84</v>
      </c>
      <c r="DS78" s="107" t="str">
        <f t="shared" si="347"/>
        <v>-</v>
      </c>
      <c r="DT78" s="107" t="str">
        <f t="shared" si="348"/>
        <v>-</v>
      </c>
      <c r="DU78" s="107" t="str">
        <f t="shared" si="349"/>
        <v>-</v>
      </c>
      <c r="DV78" s="107" t="str">
        <f t="shared" si="350"/>
        <v>-</v>
      </c>
      <c r="DW78" s="108" t="str">
        <f t="shared" si="351"/>
        <v>-</v>
      </c>
      <c r="DX78" s="109" t="str">
        <f t="shared" si="352"/>
        <v>-</v>
      </c>
      <c r="DY78" s="110" t="str">
        <f t="shared" si="353"/>
        <v>-</v>
      </c>
      <c r="DZ78" s="110" t="str">
        <f t="shared" si="354"/>
        <v>-</v>
      </c>
      <c r="EA78" s="110" t="str">
        <f t="shared" si="355"/>
        <v>-</v>
      </c>
      <c r="EB78" s="110" t="str">
        <f t="shared" si="356"/>
        <v>-</v>
      </c>
      <c r="EC78" s="110" t="str">
        <f t="shared" si="357"/>
        <v>-</v>
      </c>
      <c r="ED78" s="110" t="str">
        <f t="shared" si="358"/>
        <v>-</v>
      </c>
      <c r="EE78" s="110" t="str">
        <f t="shared" si="359"/>
        <v>-</v>
      </c>
      <c r="EF78" s="111" t="str">
        <f t="shared" si="360"/>
        <v>-</v>
      </c>
      <c r="EG78" s="109" t="str">
        <f t="shared" si="361"/>
        <v>-</v>
      </c>
      <c r="EH78" s="110" t="str">
        <f t="shared" si="362"/>
        <v>-</v>
      </c>
      <c r="EI78" s="110" t="str">
        <f t="shared" si="363"/>
        <v>-</v>
      </c>
      <c r="EJ78" s="110" t="str">
        <f t="shared" si="364"/>
        <v>-</v>
      </c>
      <c r="EK78" s="110" t="str">
        <f t="shared" si="365"/>
        <v>-</v>
      </c>
      <c r="EL78" s="110" t="str">
        <f t="shared" si="366"/>
        <v>-</v>
      </c>
      <c r="EM78" s="110" t="str">
        <f t="shared" si="367"/>
        <v>-</v>
      </c>
      <c r="EN78" s="110" t="str">
        <f t="shared" si="368"/>
        <v>-</v>
      </c>
      <c r="EO78" s="111" t="str">
        <f t="shared" si="369"/>
        <v>-</v>
      </c>
      <c r="EQ78" s="118">
        <f t="shared" si="370"/>
        <v>42.84</v>
      </c>
      <c r="ER78" s="119" t="str">
        <f t="shared" si="371"/>
        <v>-</v>
      </c>
      <c r="ES78" s="120" t="str">
        <f t="shared" si="372"/>
        <v>-</v>
      </c>
      <c r="ET78" s="90">
        <v>2</v>
      </c>
      <c r="EU78" s="118">
        <f t="shared" si="373"/>
        <v>2</v>
      </c>
      <c r="EV78" s="119" t="str">
        <f t="shared" si="374"/>
        <v>-</v>
      </c>
      <c r="EW78" s="120" t="str">
        <f t="shared" si="375"/>
        <v>-</v>
      </c>
    </row>
    <row r="79" spans="1:153" ht="15.75" thickBot="1" x14ac:dyDescent="0.3">
      <c r="A79" s="41"/>
      <c r="B79" s="171" t="s">
        <v>514</v>
      </c>
      <c r="C79" s="171" t="s">
        <v>513</v>
      </c>
      <c r="D79" s="42">
        <f>VLOOKUP(B79,'BASE DE DATOS'!$B$3:$E$106,2,FALSE)</f>
        <v>32.869999999999997</v>
      </c>
      <c r="E79" s="42">
        <f>VLOOKUP(B79,'BASE DE DATOS'!$B$3:$E$106,4,FALSE)</f>
        <v>1.1999999999999957</v>
      </c>
      <c r="F79" s="42">
        <f>VLOOKUP(C79,'BASE DE DATOS'!$B$3:$E$106,2,FALSE)</f>
        <v>32.64</v>
      </c>
      <c r="G79" s="42">
        <f>VLOOKUP(C79,'BASE DE DATOS'!$B$3:$E$106,4,FALSE)</f>
        <v>1.379999999999999</v>
      </c>
      <c r="H79" s="43">
        <f t="shared" si="135"/>
        <v>1.2899999999999974</v>
      </c>
      <c r="I79" s="171">
        <v>47.85</v>
      </c>
      <c r="J79" s="44">
        <f t="shared" si="132"/>
        <v>47.85</v>
      </c>
      <c r="K79" s="40">
        <f t="shared" si="133"/>
        <v>46.25</v>
      </c>
      <c r="L79" s="40">
        <f t="shared" si="134"/>
        <v>46.65</v>
      </c>
      <c r="M79" s="44">
        <f t="shared" si="376"/>
        <v>200</v>
      </c>
      <c r="N79" s="40">
        <f t="shared" si="377"/>
        <v>47.85</v>
      </c>
      <c r="O79" s="171" t="s">
        <v>120</v>
      </c>
      <c r="P79" s="19">
        <v>187.6</v>
      </c>
      <c r="Q79" s="171" t="s">
        <v>122</v>
      </c>
      <c r="R79" s="171" t="s">
        <v>133</v>
      </c>
      <c r="S79" s="171" t="s">
        <v>389</v>
      </c>
      <c r="T79" s="171" t="s">
        <v>149</v>
      </c>
      <c r="V79" s="51" t="str">
        <f t="shared" si="256"/>
        <v>-</v>
      </c>
      <c r="W79" s="52" t="str">
        <f t="shared" si="257"/>
        <v>-</v>
      </c>
      <c r="X79" s="52" t="str">
        <f t="shared" si="258"/>
        <v>-</v>
      </c>
      <c r="Y79" s="52" t="str">
        <f t="shared" si="259"/>
        <v>-</v>
      </c>
      <c r="Z79" s="52" t="str">
        <f t="shared" si="260"/>
        <v>-</v>
      </c>
      <c r="AA79" s="52" t="str">
        <f t="shared" si="261"/>
        <v>-</v>
      </c>
      <c r="AB79" s="52" t="str">
        <f t="shared" si="262"/>
        <v>-</v>
      </c>
      <c r="AC79" s="52" t="str">
        <f t="shared" si="263"/>
        <v>-</v>
      </c>
      <c r="AD79" s="52" t="str">
        <f t="shared" si="264"/>
        <v>-</v>
      </c>
      <c r="AE79" s="52" t="str">
        <f t="shared" si="265"/>
        <v>-</v>
      </c>
      <c r="AF79" s="52" t="str">
        <f t="shared" si="266"/>
        <v>-</v>
      </c>
      <c r="AG79" s="52" t="str">
        <f t="shared" si="267"/>
        <v>-</v>
      </c>
      <c r="AH79" s="52" t="str">
        <f t="shared" si="268"/>
        <v>-</v>
      </c>
      <c r="AI79" s="52" t="str">
        <f t="shared" si="269"/>
        <v>-</v>
      </c>
      <c r="AJ79" s="52" t="str">
        <f t="shared" si="270"/>
        <v>-</v>
      </c>
      <c r="AK79" s="52" t="str">
        <f t="shared" si="271"/>
        <v>-</v>
      </c>
      <c r="AL79" s="52" t="str">
        <f t="shared" si="272"/>
        <v>-</v>
      </c>
      <c r="AM79" s="53" t="str">
        <f t="shared" si="273"/>
        <v>-</v>
      </c>
      <c r="AN79" s="51" t="str">
        <f t="shared" si="274"/>
        <v>-</v>
      </c>
      <c r="AO79" s="52" t="str">
        <f t="shared" si="275"/>
        <v>-</v>
      </c>
      <c r="AP79" s="52" t="str">
        <f t="shared" si="276"/>
        <v>-</v>
      </c>
      <c r="AQ79" s="52" t="str">
        <f t="shared" si="277"/>
        <v>-</v>
      </c>
      <c r="AR79" s="52" t="str">
        <f t="shared" si="278"/>
        <v>-</v>
      </c>
      <c r="AS79" s="52" t="str">
        <f t="shared" si="279"/>
        <v>-</v>
      </c>
      <c r="AT79" s="52" t="str">
        <f t="shared" si="280"/>
        <v>-</v>
      </c>
      <c r="AU79" s="52" t="str">
        <f t="shared" si="281"/>
        <v>-</v>
      </c>
      <c r="AV79" s="52" t="str">
        <f t="shared" si="282"/>
        <v>-</v>
      </c>
      <c r="AW79" s="52" t="str">
        <f t="shared" si="283"/>
        <v>-</v>
      </c>
      <c r="AX79" s="52" t="str">
        <f t="shared" si="284"/>
        <v>-</v>
      </c>
      <c r="AY79" s="52" t="str">
        <f t="shared" si="285"/>
        <v>-</v>
      </c>
      <c r="AZ79" s="52" t="str">
        <f t="shared" si="286"/>
        <v>-</v>
      </c>
      <c r="BA79" s="52" t="str">
        <f t="shared" si="287"/>
        <v>-</v>
      </c>
      <c r="BB79" s="52" t="str">
        <f t="shared" si="288"/>
        <v>-</v>
      </c>
      <c r="BC79" s="52" t="str">
        <f t="shared" si="289"/>
        <v>-</v>
      </c>
      <c r="BD79" s="52" t="str">
        <f t="shared" si="290"/>
        <v>-</v>
      </c>
      <c r="BE79" s="53" t="str">
        <f t="shared" si="291"/>
        <v>-</v>
      </c>
      <c r="BF79" s="51" t="str">
        <f t="shared" si="292"/>
        <v>-</v>
      </c>
      <c r="BG79" s="52" t="str">
        <f t="shared" si="293"/>
        <v>-</v>
      </c>
      <c r="BH79" s="52">
        <f t="shared" si="294"/>
        <v>46.25</v>
      </c>
      <c r="BI79" s="52" t="str">
        <f t="shared" si="295"/>
        <v>-</v>
      </c>
      <c r="BJ79" s="52" t="str">
        <f t="shared" si="296"/>
        <v>-</v>
      </c>
      <c r="BK79" s="52" t="str">
        <f t="shared" si="297"/>
        <v>-</v>
      </c>
      <c r="BL79" s="52" t="str">
        <f t="shared" si="298"/>
        <v>-</v>
      </c>
      <c r="BM79" s="52" t="str">
        <f t="shared" si="299"/>
        <v>-</v>
      </c>
      <c r="BN79" s="52" t="str">
        <f t="shared" si="300"/>
        <v>-</v>
      </c>
      <c r="BO79" s="52" t="str">
        <f t="shared" si="301"/>
        <v>-</v>
      </c>
      <c r="BP79" s="52" t="str">
        <f t="shared" si="302"/>
        <v>-</v>
      </c>
      <c r="BQ79" s="52" t="str">
        <f t="shared" si="303"/>
        <v>-</v>
      </c>
      <c r="BR79" s="52" t="str">
        <f t="shared" si="304"/>
        <v>-</v>
      </c>
      <c r="BS79" s="52" t="str">
        <f t="shared" si="305"/>
        <v>-</v>
      </c>
      <c r="BT79" s="52" t="str">
        <f t="shared" si="306"/>
        <v>-</v>
      </c>
      <c r="BU79" s="52" t="str">
        <f t="shared" si="307"/>
        <v>-</v>
      </c>
      <c r="BV79" s="52" t="str">
        <f t="shared" si="308"/>
        <v>-</v>
      </c>
      <c r="BW79" s="53" t="str">
        <f t="shared" si="309"/>
        <v>-</v>
      </c>
      <c r="BX79" s="51" t="str">
        <f t="shared" si="310"/>
        <v>-</v>
      </c>
      <c r="BY79" s="52" t="str">
        <f t="shared" si="311"/>
        <v>-</v>
      </c>
      <c r="BZ79" s="52" t="str">
        <f t="shared" si="312"/>
        <v>-</v>
      </c>
      <c r="CA79" s="52" t="str">
        <f t="shared" si="313"/>
        <v>-</v>
      </c>
      <c r="CB79" s="52" t="str">
        <f t="shared" si="314"/>
        <v>-</v>
      </c>
      <c r="CC79" s="52" t="str">
        <f t="shared" si="315"/>
        <v>-</v>
      </c>
      <c r="CD79" s="52" t="str">
        <f t="shared" si="316"/>
        <v>-</v>
      </c>
      <c r="CE79" s="52" t="str">
        <f t="shared" si="317"/>
        <v>-</v>
      </c>
      <c r="CF79" s="52" t="str">
        <f t="shared" si="318"/>
        <v>-</v>
      </c>
      <c r="CG79" s="52" t="str">
        <f t="shared" si="319"/>
        <v>-</v>
      </c>
      <c r="CH79" s="52" t="str">
        <f t="shared" si="320"/>
        <v>-</v>
      </c>
      <c r="CI79" s="52" t="str">
        <f t="shared" si="321"/>
        <v>-</v>
      </c>
      <c r="CJ79" s="52" t="str">
        <f t="shared" si="322"/>
        <v>-</v>
      </c>
      <c r="CK79" s="52" t="str">
        <f t="shared" si="323"/>
        <v>-</v>
      </c>
      <c r="CL79" s="52" t="str">
        <f t="shared" si="324"/>
        <v>-</v>
      </c>
      <c r="CM79" s="52" t="str">
        <f t="shared" si="325"/>
        <v>-</v>
      </c>
      <c r="CN79" s="52" t="str">
        <f t="shared" si="326"/>
        <v>-</v>
      </c>
      <c r="CO79" s="53" t="str">
        <f t="shared" si="327"/>
        <v>-</v>
      </c>
      <c r="CQ79" s="305" t="str">
        <f t="shared" si="378"/>
        <v>-</v>
      </c>
      <c r="CR79" s="305" t="str">
        <f t="shared" si="379"/>
        <v>-</v>
      </c>
      <c r="CS79" s="305" t="str">
        <f t="shared" si="380"/>
        <v>-</v>
      </c>
      <c r="CT79" s="305" t="str">
        <f t="shared" si="381"/>
        <v>-</v>
      </c>
      <c r="CU79" s="305">
        <f t="shared" si="382"/>
        <v>47.85</v>
      </c>
      <c r="CV79" s="305" t="str">
        <f t="shared" si="383"/>
        <v>-</v>
      </c>
      <c r="CX79" s="51">
        <f t="shared" si="328"/>
        <v>46.65</v>
      </c>
      <c r="CY79" s="52" t="str">
        <f t="shared" si="329"/>
        <v>-</v>
      </c>
      <c r="CZ79" s="53" t="str">
        <f t="shared" si="330"/>
        <v>-</v>
      </c>
      <c r="DA79" s="51" t="str">
        <f t="shared" si="331"/>
        <v>-</v>
      </c>
      <c r="DB79" s="52" t="str">
        <f t="shared" si="332"/>
        <v>-</v>
      </c>
      <c r="DC79" s="53" t="str">
        <f t="shared" si="333"/>
        <v>-</v>
      </c>
      <c r="DD79" s="57"/>
      <c r="DE79" s="106" t="str">
        <f t="shared" si="334"/>
        <v>-</v>
      </c>
      <c r="DF79" s="107" t="str">
        <f t="shared" si="335"/>
        <v>-</v>
      </c>
      <c r="DG79" s="107" t="str">
        <f t="shared" si="336"/>
        <v>-</v>
      </c>
      <c r="DH79" s="107">
        <f t="shared" si="337"/>
        <v>46.65</v>
      </c>
      <c r="DI79" s="107" t="str">
        <f t="shared" si="338"/>
        <v>-</v>
      </c>
      <c r="DJ79" s="107" t="str">
        <f t="shared" si="339"/>
        <v>-</v>
      </c>
      <c r="DK79" s="107" t="str">
        <f t="shared" si="340"/>
        <v>-</v>
      </c>
      <c r="DL79" s="107" t="str">
        <f t="shared" si="341"/>
        <v>-</v>
      </c>
      <c r="DM79" s="108" t="str">
        <f t="shared" si="342"/>
        <v>-</v>
      </c>
      <c r="DO79" s="106" t="str">
        <f t="shared" si="343"/>
        <v>-</v>
      </c>
      <c r="DP79" s="107" t="str">
        <f t="shared" si="344"/>
        <v>-</v>
      </c>
      <c r="DQ79" s="107" t="str">
        <f t="shared" si="345"/>
        <v>-</v>
      </c>
      <c r="DR79" s="107">
        <f t="shared" si="346"/>
        <v>46.65</v>
      </c>
      <c r="DS79" s="107" t="str">
        <f t="shared" si="347"/>
        <v>-</v>
      </c>
      <c r="DT79" s="107" t="str">
        <f t="shared" si="348"/>
        <v>-</v>
      </c>
      <c r="DU79" s="107" t="str">
        <f t="shared" si="349"/>
        <v>-</v>
      </c>
      <c r="DV79" s="107" t="str">
        <f t="shared" si="350"/>
        <v>-</v>
      </c>
      <c r="DW79" s="108" t="str">
        <f t="shared" si="351"/>
        <v>-</v>
      </c>
      <c r="DX79" s="109" t="str">
        <f t="shared" si="352"/>
        <v>-</v>
      </c>
      <c r="DY79" s="110" t="str">
        <f t="shared" si="353"/>
        <v>-</v>
      </c>
      <c r="DZ79" s="110" t="str">
        <f t="shared" si="354"/>
        <v>-</v>
      </c>
      <c r="EA79" s="110" t="str">
        <f t="shared" si="355"/>
        <v>-</v>
      </c>
      <c r="EB79" s="110" t="str">
        <f t="shared" si="356"/>
        <v>-</v>
      </c>
      <c r="EC79" s="110" t="str">
        <f t="shared" si="357"/>
        <v>-</v>
      </c>
      <c r="ED79" s="110" t="str">
        <f t="shared" si="358"/>
        <v>-</v>
      </c>
      <c r="EE79" s="110" t="str">
        <f t="shared" si="359"/>
        <v>-</v>
      </c>
      <c r="EF79" s="111" t="str">
        <f t="shared" si="360"/>
        <v>-</v>
      </c>
      <c r="EG79" s="109" t="str">
        <f t="shared" si="361"/>
        <v>-</v>
      </c>
      <c r="EH79" s="110" t="str">
        <f t="shared" si="362"/>
        <v>-</v>
      </c>
      <c r="EI79" s="110" t="str">
        <f t="shared" si="363"/>
        <v>-</v>
      </c>
      <c r="EJ79" s="110" t="str">
        <f t="shared" si="364"/>
        <v>-</v>
      </c>
      <c r="EK79" s="110" t="str">
        <f t="shared" si="365"/>
        <v>-</v>
      </c>
      <c r="EL79" s="110" t="str">
        <f t="shared" si="366"/>
        <v>-</v>
      </c>
      <c r="EM79" s="110" t="str">
        <f t="shared" si="367"/>
        <v>-</v>
      </c>
      <c r="EN79" s="110" t="str">
        <f t="shared" si="368"/>
        <v>-</v>
      </c>
      <c r="EO79" s="111" t="str">
        <f t="shared" si="369"/>
        <v>-</v>
      </c>
      <c r="EQ79" s="118">
        <f t="shared" si="370"/>
        <v>46.65</v>
      </c>
      <c r="ER79" s="119" t="str">
        <f t="shared" si="371"/>
        <v>-</v>
      </c>
      <c r="ES79" s="120" t="str">
        <f t="shared" si="372"/>
        <v>-</v>
      </c>
      <c r="ET79" s="90">
        <v>2</v>
      </c>
      <c r="EU79" s="118">
        <f t="shared" si="373"/>
        <v>2</v>
      </c>
      <c r="EV79" s="119" t="str">
        <f t="shared" si="374"/>
        <v>-</v>
      </c>
      <c r="EW79" s="120" t="str">
        <f t="shared" si="375"/>
        <v>-</v>
      </c>
    </row>
    <row r="80" spans="1:153" ht="15.75" thickBot="1" x14ac:dyDescent="0.3">
      <c r="A80" s="41"/>
      <c r="B80" s="171" t="s">
        <v>514</v>
      </c>
      <c r="C80" s="171" t="s">
        <v>516</v>
      </c>
      <c r="D80" s="42">
        <f>VLOOKUP(B80,'BASE DE DATOS'!$B$3:$E$106,2,FALSE)</f>
        <v>32.869999999999997</v>
      </c>
      <c r="E80" s="42">
        <f>VLOOKUP(B80,'BASE DE DATOS'!$B$3:$E$106,4,FALSE)</f>
        <v>1.1999999999999957</v>
      </c>
      <c r="F80" s="42">
        <f>VLOOKUP(C80,'BASE DE DATOS'!$B$3:$E$106,2,FALSE)</f>
        <v>32.44</v>
      </c>
      <c r="G80" s="42">
        <f>VLOOKUP(C80,'BASE DE DATOS'!$B$3:$E$106,4,FALSE)</f>
        <v>1.9999999999999964</v>
      </c>
      <c r="H80" s="43">
        <f t="shared" si="135"/>
        <v>1.5999999999999961</v>
      </c>
      <c r="I80" s="171">
        <v>44.03</v>
      </c>
      <c r="J80" s="44">
        <f t="shared" si="132"/>
        <v>44.04</v>
      </c>
      <c r="K80" s="40">
        <f t="shared" si="133"/>
        <v>42.45</v>
      </c>
      <c r="L80" s="40">
        <f t="shared" si="134"/>
        <v>42.85</v>
      </c>
      <c r="M80" s="44">
        <f t="shared" si="376"/>
        <v>200</v>
      </c>
      <c r="N80" s="40">
        <f t="shared" si="377"/>
        <v>44.03</v>
      </c>
      <c r="O80" s="171" t="s">
        <v>120</v>
      </c>
      <c r="P80" s="19">
        <v>187.6</v>
      </c>
      <c r="Q80" s="171" t="s">
        <v>122</v>
      </c>
      <c r="R80" s="171" t="s">
        <v>133</v>
      </c>
      <c r="S80" s="171" t="s">
        <v>148</v>
      </c>
      <c r="T80" s="171" t="s">
        <v>149</v>
      </c>
      <c r="V80" s="51" t="str">
        <f t="shared" si="256"/>
        <v>-</v>
      </c>
      <c r="W80" s="52" t="str">
        <f t="shared" si="257"/>
        <v>-</v>
      </c>
      <c r="X80" s="52" t="str">
        <f t="shared" si="258"/>
        <v>-</v>
      </c>
      <c r="Y80" s="52" t="str">
        <f t="shared" si="259"/>
        <v>-</v>
      </c>
      <c r="Z80" s="52" t="str">
        <f t="shared" si="260"/>
        <v>-</v>
      </c>
      <c r="AA80" s="52" t="str">
        <f t="shared" si="261"/>
        <v>-</v>
      </c>
      <c r="AB80" s="52" t="str">
        <f t="shared" si="262"/>
        <v>-</v>
      </c>
      <c r="AC80" s="52" t="str">
        <f t="shared" si="263"/>
        <v>-</v>
      </c>
      <c r="AD80" s="52" t="str">
        <f t="shared" si="264"/>
        <v>-</v>
      </c>
      <c r="AE80" s="52" t="str">
        <f t="shared" si="265"/>
        <v>-</v>
      </c>
      <c r="AF80" s="52" t="str">
        <f t="shared" si="266"/>
        <v>-</v>
      </c>
      <c r="AG80" s="52" t="str">
        <f t="shared" si="267"/>
        <v>-</v>
      </c>
      <c r="AH80" s="52" t="str">
        <f t="shared" si="268"/>
        <v>-</v>
      </c>
      <c r="AI80" s="52" t="str">
        <f t="shared" si="269"/>
        <v>-</v>
      </c>
      <c r="AJ80" s="52" t="str">
        <f t="shared" si="270"/>
        <v>-</v>
      </c>
      <c r="AK80" s="52" t="str">
        <f t="shared" si="271"/>
        <v>-</v>
      </c>
      <c r="AL80" s="52" t="str">
        <f t="shared" si="272"/>
        <v>-</v>
      </c>
      <c r="AM80" s="53" t="str">
        <f t="shared" si="273"/>
        <v>-</v>
      </c>
      <c r="AN80" s="51" t="str">
        <f t="shared" si="274"/>
        <v>-</v>
      </c>
      <c r="AO80" s="52" t="str">
        <f t="shared" si="275"/>
        <v>-</v>
      </c>
      <c r="AP80" s="52" t="str">
        <f t="shared" si="276"/>
        <v>-</v>
      </c>
      <c r="AQ80" s="52" t="str">
        <f t="shared" si="277"/>
        <v>-</v>
      </c>
      <c r="AR80" s="52" t="str">
        <f t="shared" si="278"/>
        <v>-</v>
      </c>
      <c r="AS80" s="52" t="str">
        <f t="shared" si="279"/>
        <v>-</v>
      </c>
      <c r="AT80" s="52" t="str">
        <f t="shared" si="280"/>
        <v>-</v>
      </c>
      <c r="AU80" s="52" t="str">
        <f t="shared" si="281"/>
        <v>-</v>
      </c>
      <c r="AV80" s="52" t="str">
        <f t="shared" si="282"/>
        <v>-</v>
      </c>
      <c r="AW80" s="52" t="str">
        <f t="shared" si="283"/>
        <v>-</v>
      </c>
      <c r="AX80" s="52" t="str">
        <f t="shared" si="284"/>
        <v>-</v>
      </c>
      <c r="AY80" s="52" t="str">
        <f t="shared" si="285"/>
        <v>-</v>
      </c>
      <c r="AZ80" s="52" t="str">
        <f t="shared" si="286"/>
        <v>-</v>
      </c>
      <c r="BA80" s="52" t="str">
        <f t="shared" si="287"/>
        <v>-</v>
      </c>
      <c r="BB80" s="52" t="str">
        <f t="shared" si="288"/>
        <v>-</v>
      </c>
      <c r="BC80" s="52" t="str">
        <f t="shared" si="289"/>
        <v>-</v>
      </c>
      <c r="BD80" s="52" t="str">
        <f t="shared" si="290"/>
        <v>-</v>
      </c>
      <c r="BE80" s="53" t="str">
        <f t="shared" si="291"/>
        <v>-</v>
      </c>
      <c r="BF80" s="51" t="str">
        <f t="shared" si="292"/>
        <v>-</v>
      </c>
      <c r="BG80" s="52" t="str">
        <f t="shared" si="293"/>
        <v>-</v>
      </c>
      <c r="BH80" s="52" t="str">
        <f t="shared" si="294"/>
        <v>-</v>
      </c>
      <c r="BI80" s="52" t="str">
        <f t="shared" si="295"/>
        <v>-</v>
      </c>
      <c r="BJ80" s="52">
        <f t="shared" si="296"/>
        <v>42.45</v>
      </c>
      <c r="BK80" s="52" t="str">
        <f t="shared" si="297"/>
        <v>-</v>
      </c>
      <c r="BL80" s="52" t="str">
        <f t="shared" si="298"/>
        <v>-</v>
      </c>
      <c r="BM80" s="52" t="str">
        <f t="shared" si="299"/>
        <v>-</v>
      </c>
      <c r="BN80" s="52" t="str">
        <f t="shared" si="300"/>
        <v>-</v>
      </c>
      <c r="BO80" s="52" t="str">
        <f t="shared" si="301"/>
        <v>-</v>
      </c>
      <c r="BP80" s="52" t="str">
        <f t="shared" si="302"/>
        <v>-</v>
      </c>
      <c r="BQ80" s="52" t="str">
        <f t="shared" si="303"/>
        <v>-</v>
      </c>
      <c r="BR80" s="52" t="str">
        <f t="shared" si="304"/>
        <v>-</v>
      </c>
      <c r="BS80" s="52" t="str">
        <f t="shared" si="305"/>
        <v>-</v>
      </c>
      <c r="BT80" s="52" t="str">
        <f t="shared" si="306"/>
        <v>-</v>
      </c>
      <c r="BU80" s="52" t="str">
        <f t="shared" si="307"/>
        <v>-</v>
      </c>
      <c r="BV80" s="52" t="str">
        <f t="shared" si="308"/>
        <v>-</v>
      </c>
      <c r="BW80" s="53" t="str">
        <f t="shared" si="309"/>
        <v>-</v>
      </c>
      <c r="BX80" s="51" t="str">
        <f t="shared" si="310"/>
        <v>-</v>
      </c>
      <c r="BY80" s="52" t="str">
        <f t="shared" si="311"/>
        <v>-</v>
      </c>
      <c r="BZ80" s="52" t="str">
        <f t="shared" si="312"/>
        <v>-</v>
      </c>
      <c r="CA80" s="52" t="str">
        <f t="shared" si="313"/>
        <v>-</v>
      </c>
      <c r="CB80" s="52" t="str">
        <f t="shared" si="314"/>
        <v>-</v>
      </c>
      <c r="CC80" s="52" t="str">
        <f t="shared" si="315"/>
        <v>-</v>
      </c>
      <c r="CD80" s="52" t="str">
        <f t="shared" si="316"/>
        <v>-</v>
      </c>
      <c r="CE80" s="52" t="str">
        <f t="shared" si="317"/>
        <v>-</v>
      </c>
      <c r="CF80" s="52" t="str">
        <f t="shared" si="318"/>
        <v>-</v>
      </c>
      <c r="CG80" s="52" t="str">
        <f t="shared" si="319"/>
        <v>-</v>
      </c>
      <c r="CH80" s="52" t="str">
        <f t="shared" si="320"/>
        <v>-</v>
      </c>
      <c r="CI80" s="52" t="str">
        <f t="shared" si="321"/>
        <v>-</v>
      </c>
      <c r="CJ80" s="52" t="str">
        <f t="shared" si="322"/>
        <v>-</v>
      </c>
      <c r="CK80" s="52" t="str">
        <f t="shared" si="323"/>
        <v>-</v>
      </c>
      <c r="CL80" s="52" t="str">
        <f t="shared" si="324"/>
        <v>-</v>
      </c>
      <c r="CM80" s="52" t="str">
        <f t="shared" si="325"/>
        <v>-</v>
      </c>
      <c r="CN80" s="52" t="str">
        <f t="shared" si="326"/>
        <v>-</v>
      </c>
      <c r="CO80" s="53" t="str">
        <f t="shared" si="327"/>
        <v>-</v>
      </c>
      <c r="CQ80" s="305" t="str">
        <f t="shared" si="378"/>
        <v>-</v>
      </c>
      <c r="CR80" s="305" t="str">
        <f t="shared" si="379"/>
        <v>-</v>
      </c>
      <c r="CS80" s="305" t="str">
        <f t="shared" si="380"/>
        <v>-</v>
      </c>
      <c r="CT80" s="305">
        <f t="shared" si="381"/>
        <v>44.03</v>
      </c>
      <c r="CU80" s="305" t="str">
        <f t="shared" si="382"/>
        <v>-</v>
      </c>
      <c r="CV80" s="305" t="str">
        <f t="shared" si="383"/>
        <v>-</v>
      </c>
      <c r="CX80" s="51">
        <f t="shared" si="328"/>
        <v>42.85</v>
      </c>
      <c r="CY80" s="52" t="str">
        <f t="shared" si="329"/>
        <v>-</v>
      </c>
      <c r="CZ80" s="53" t="str">
        <f t="shared" si="330"/>
        <v>-</v>
      </c>
      <c r="DA80" s="51" t="str">
        <f t="shared" si="331"/>
        <v>-</v>
      </c>
      <c r="DB80" s="52" t="str">
        <f t="shared" si="332"/>
        <v>-</v>
      </c>
      <c r="DC80" s="53" t="str">
        <f t="shared" si="333"/>
        <v>-</v>
      </c>
      <c r="DD80" s="57"/>
      <c r="DE80" s="106" t="str">
        <f t="shared" si="334"/>
        <v>-</v>
      </c>
      <c r="DF80" s="107" t="str">
        <f t="shared" si="335"/>
        <v>-</v>
      </c>
      <c r="DG80" s="107" t="str">
        <f t="shared" si="336"/>
        <v>-</v>
      </c>
      <c r="DH80" s="107">
        <f t="shared" si="337"/>
        <v>42.85</v>
      </c>
      <c r="DI80" s="107" t="str">
        <f t="shared" si="338"/>
        <v>-</v>
      </c>
      <c r="DJ80" s="107" t="str">
        <f t="shared" si="339"/>
        <v>-</v>
      </c>
      <c r="DK80" s="107" t="str">
        <f t="shared" si="340"/>
        <v>-</v>
      </c>
      <c r="DL80" s="107" t="str">
        <f t="shared" si="341"/>
        <v>-</v>
      </c>
      <c r="DM80" s="108" t="str">
        <f t="shared" si="342"/>
        <v>-</v>
      </c>
      <c r="DO80" s="106" t="str">
        <f t="shared" si="343"/>
        <v>-</v>
      </c>
      <c r="DP80" s="107" t="str">
        <f t="shared" si="344"/>
        <v>-</v>
      </c>
      <c r="DQ80" s="107" t="str">
        <f t="shared" si="345"/>
        <v>-</v>
      </c>
      <c r="DR80" s="107">
        <f t="shared" si="346"/>
        <v>42.85</v>
      </c>
      <c r="DS80" s="107" t="str">
        <f t="shared" si="347"/>
        <v>-</v>
      </c>
      <c r="DT80" s="107" t="str">
        <f t="shared" si="348"/>
        <v>-</v>
      </c>
      <c r="DU80" s="107" t="str">
        <f t="shared" si="349"/>
        <v>-</v>
      </c>
      <c r="DV80" s="107" t="str">
        <f t="shared" si="350"/>
        <v>-</v>
      </c>
      <c r="DW80" s="108" t="str">
        <f t="shared" si="351"/>
        <v>-</v>
      </c>
      <c r="DX80" s="109" t="str">
        <f t="shared" si="352"/>
        <v>-</v>
      </c>
      <c r="DY80" s="110" t="str">
        <f t="shared" si="353"/>
        <v>-</v>
      </c>
      <c r="DZ80" s="110" t="str">
        <f t="shared" si="354"/>
        <v>-</v>
      </c>
      <c r="EA80" s="110" t="str">
        <f t="shared" si="355"/>
        <v>-</v>
      </c>
      <c r="EB80" s="110" t="str">
        <f t="shared" si="356"/>
        <v>-</v>
      </c>
      <c r="EC80" s="110" t="str">
        <f t="shared" si="357"/>
        <v>-</v>
      </c>
      <c r="ED80" s="110" t="str">
        <f t="shared" si="358"/>
        <v>-</v>
      </c>
      <c r="EE80" s="110" t="str">
        <f t="shared" si="359"/>
        <v>-</v>
      </c>
      <c r="EF80" s="111" t="str">
        <f t="shared" si="360"/>
        <v>-</v>
      </c>
      <c r="EG80" s="109" t="str">
        <f t="shared" si="361"/>
        <v>-</v>
      </c>
      <c r="EH80" s="110" t="str">
        <f t="shared" si="362"/>
        <v>-</v>
      </c>
      <c r="EI80" s="110" t="str">
        <f t="shared" si="363"/>
        <v>-</v>
      </c>
      <c r="EJ80" s="110" t="str">
        <f t="shared" si="364"/>
        <v>-</v>
      </c>
      <c r="EK80" s="110" t="str">
        <f t="shared" si="365"/>
        <v>-</v>
      </c>
      <c r="EL80" s="110" t="str">
        <f t="shared" si="366"/>
        <v>-</v>
      </c>
      <c r="EM80" s="110" t="str">
        <f t="shared" si="367"/>
        <v>-</v>
      </c>
      <c r="EN80" s="110" t="str">
        <f t="shared" si="368"/>
        <v>-</v>
      </c>
      <c r="EO80" s="111" t="str">
        <f t="shared" si="369"/>
        <v>-</v>
      </c>
      <c r="EQ80" s="118">
        <f t="shared" si="370"/>
        <v>42.85</v>
      </c>
      <c r="ER80" s="119" t="str">
        <f t="shared" si="371"/>
        <v>-</v>
      </c>
      <c r="ES80" s="120" t="str">
        <f t="shared" si="372"/>
        <v>-</v>
      </c>
      <c r="ET80" s="90">
        <v>2</v>
      </c>
      <c r="EU80" s="118">
        <f t="shared" si="373"/>
        <v>2</v>
      </c>
      <c r="EV80" s="119" t="str">
        <f t="shared" si="374"/>
        <v>-</v>
      </c>
      <c r="EW80" s="120" t="str">
        <f t="shared" si="375"/>
        <v>-</v>
      </c>
    </row>
    <row r="81" spans="1:153" ht="15.75" thickBot="1" x14ac:dyDescent="0.3">
      <c r="A81" s="41"/>
      <c r="B81" s="171" t="s">
        <v>515</v>
      </c>
      <c r="C81" s="171" t="s">
        <v>516</v>
      </c>
      <c r="D81" s="42">
        <f>VLOOKUP(B81,'BASE DE DATOS'!$B$3:$E$106,2,FALSE)</f>
        <v>32.35</v>
      </c>
      <c r="E81" s="42">
        <f>VLOOKUP(B81,'BASE DE DATOS'!$B$3:$E$106,4,FALSE)</f>
        <v>1.5300000000000011</v>
      </c>
      <c r="F81" s="42">
        <f>VLOOKUP(C81,'BASE DE DATOS'!$B$3:$E$106,2,FALSE)</f>
        <v>32.44</v>
      </c>
      <c r="G81" s="42">
        <f>VLOOKUP(C81,'BASE DE DATOS'!$B$3:$E$106,4,FALSE)</f>
        <v>1.9999999999999964</v>
      </c>
      <c r="H81" s="43">
        <f t="shared" si="135"/>
        <v>1.7649999999999988</v>
      </c>
      <c r="I81" s="171">
        <v>47.77</v>
      </c>
      <c r="J81" s="44">
        <f t="shared" ref="J81:J94" si="384">ROUND((I81^2+(E81-G81)^2)^0.5,2)</f>
        <v>47.77</v>
      </c>
      <c r="K81" s="40">
        <f t="shared" ref="K81:K94" si="385">ROUND(((I81-1.6)^2+(D81-E81-F81+G81)^2)^0.5,2)</f>
        <v>46.17</v>
      </c>
      <c r="L81" s="40">
        <f t="shared" ref="L81:L94" si="386">ROUND(((I81-1.2)^2+(D81-E81-F81+G81)^2)^0.5,2)</f>
        <v>46.57</v>
      </c>
      <c r="M81" s="44">
        <f t="shared" si="376"/>
        <v>200</v>
      </c>
      <c r="N81" s="40">
        <f t="shared" si="377"/>
        <v>47.77</v>
      </c>
      <c r="O81" s="171" t="s">
        <v>120</v>
      </c>
      <c r="P81" s="19">
        <v>187.6</v>
      </c>
      <c r="Q81" s="171" t="s">
        <v>122</v>
      </c>
      <c r="R81" s="171" t="s">
        <v>133</v>
      </c>
      <c r="S81" s="171" t="s">
        <v>148</v>
      </c>
      <c r="T81" s="171" t="s">
        <v>149</v>
      </c>
      <c r="V81" s="51" t="str">
        <f t="shared" si="256"/>
        <v>-</v>
      </c>
      <c r="W81" s="52" t="str">
        <f t="shared" si="257"/>
        <v>-</v>
      </c>
      <c r="X81" s="52" t="str">
        <f t="shared" si="258"/>
        <v>-</v>
      </c>
      <c r="Y81" s="52" t="str">
        <f t="shared" si="259"/>
        <v>-</v>
      </c>
      <c r="Z81" s="52" t="str">
        <f t="shared" si="260"/>
        <v>-</v>
      </c>
      <c r="AA81" s="52" t="str">
        <f t="shared" si="261"/>
        <v>-</v>
      </c>
      <c r="AB81" s="52" t="str">
        <f t="shared" si="262"/>
        <v>-</v>
      </c>
      <c r="AC81" s="52" t="str">
        <f t="shared" si="263"/>
        <v>-</v>
      </c>
      <c r="AD81" s="52" t="str">
        <f t="shared" si="264"/>
        <v>-</v>
      </c>
      <c r="AE81" s="52" t="str">
        <f t="shared" si="265"/>
        <v>-</v>
      </c>
      <c r="AF81" s="52" t="str">
        <f t="shared" si="266"/>
        <v>-</v>
      </c>
      <c r="AG81" s="52" t="str">
        <f t="shared" si="267"/>
        <v>-</v>
      </c>
      <c r="AH81" s="52" t="str">
        <f t="shared" si="268"/>
        <v>-</v>
      </c>
      <c r="AI81" s="52" t="str">
        <f t="shared" si="269"/>
        <v>-</v>
      </c>
      <c r="AJ81" s="52" t="str">
        <f t="shared" si="270"/>
        <v>-</v>
      </c>
      <c r="AK81" s="52" t="str">
        <f t="shared" si="271"/>
        <v>-</v>
      </c>
      <c r="AL81" s="52" t="str">
        <f t="shared" si="272"/>
        <v>-</v>
      </c>
      <c r="AM81" s="53" t="str">
        <f t="shared" si="273"/>
        <v>-</v>
      </c>
      <c r="AN81" s="51" t="str">
        <f t="shared" si="274"/>
        <v>-</v>
      </c>
      <c r="AO81" s="52" t="str">
        <f t="shared" si="275"/>
        <v>-</v>
      </c>
      <c r="AP81" s="52" t="str">
        <f t="shared" si="276"/>
        <v>-</v>
      </c>
      <c r="AQ81" s="52" t="str">
        <f t="shared" si="277"/>
        <v>-</v>
      </c>
      <c r="AR81" s="52" t="str">
        <f t="shared" si="278"/>
        <v>-</v>
      </c>
      <c r="AS81" s="52" t="str">
        <f t="shared" si="279"/>
        <v>-</v>
      </c>
      <c r="AT81" s="52" t="str">
        <f t="shared" si="280"/>
        <v>-</v>
      </c>
      <c r="AU81" s="52" t="str">
        <f t="shared" si="281"/>
        <v>-</v>
      </c>
      <c r="AV81" s="52" t="str">
        <f t="shared" si="282"/>
        <v>-</v>
      </c>
      <c r="AW81" s="52" t="str">
        <f t="shared" si="283"/>
        <v>-</v>
      </c>
      <c r="AX81" s="52" t="str">
        <f t="shared" si="284"/>
        <v>-</v>
      </c>
      <c r="AY81" s="52" t="str">
        <f t="shared" si="285"/>
        <v>-</v>
      </c>
      <c r="AZ81" s="52" t="str">
        <f t="shared" si="286"/>
        <v>-</v>
      </c>
      <c r="BA81" s="52" t="str">
        <f t="shared" si="287"/>
        <v>-</v>
      </c>
      <c r="BB81" s="52" t="str">
        <f t="shared" si="288"/>
        <v>-</v>
      </c>
      <c r="BC81" s="52" t="str">
        <f t="shared" si="289"/>
        <v>-</v>
      </c>
      <c r="BD81" s="52" t="str">
        <f t="shared" si="290"/>
        <v>-</v>
      </c>
      <c r="BE81" s="53" t="str">
        <f t="shared" si="291"/>
        <v>-</v>
      </c>
      <c r="BF81" s="51" t="str">
        <f t="shared" si="292"/>
        <v>-</v>
      </c>
      <c r="BG81" s="52" t="str">
        <f t="shared" si="293"/>
        <v>-</v>
      </c>
      <c r="BH81" s="52" t="str">
        <f t="shared" si="294"/>
        <v>-</v>
      </c>
      <c r="BI81" s="52" t="str">
        <f t="shared" si="295"/>
        <v>-</v>
      </c>
      <c r="BJ81" s="52" t="str">
        <f t="shared" si="296"/>
        <v>-</v>
      </c>
      <c r="BK81" s="52" t="str">
        <f t="shared" si="297"/>
        <v>-</v>
      </c>
      <c r="BL81" s="52">
        <f t="shared" si="298"/>
        <v>46.17</v>
      </c>
      <c r="BM81" s="52" t="str">
        <f t="shared" si="299"/>
        <v>-</v>
      </c>
      <c r="BN81" s="52" t="str">
        <f t="shared" si="300"/>
        <v>-</v>
      </c>
      <c r="BO81" s="52" t="str">
        <f t="shared" si="301"/>
        <v>-</v>
      </c>
      <c r="BP81" s="52" t="str">
        <f t="shared" si="302"/>
        <v>-</v>
      </c>
      <c r="BQ81" s="52" t="str">
        <f t="shared" si="303"/>
        <v>-</v>
      </c>
      <c r="BR81" s="52" t="str">
        <f t="shared" si="304"/>
        <v>-</v>
      </c>
      <c r="BS81" s="52" t="str">
        <f t="shared" si="305"/>
        <v>-</v>
      </c>
      <c r="BT81" s="52" t="str">
        <f t="shared" si="306"/>
        <v>-</v>
      </c>
      <c r="BU81" s="52" t="str">
        <f t="shared" si="307"/>
        <v>-</v>
      </c>
      <c r="BV81" s="52" t="str">
        <f t="shared" si="308"/>
        <v>-</v>
      </c>
      <c r="BW81" s="53" t="str">
        <f t="shared" si="309"/>
        <v>-</v>
      </c>
      <c r="BX81" s="51" t="str">
        <f t="shared" si="310"/>
        <v>-</v>
      </c>
      <c r="BY81" s="52" t="str">
        <f t="shared" si="311"/>
        <v>-</v>
      </c>
      <c r="BZ81" s="52" t="str">
        <f t="shared" si="312"/>
        <v>-</v>
      </c>
      <c r="CA81" s="52" t="str">
        <f t="shared" si="313"/>
        <v>-</v>
      </c>
      <c r="CB81" s="52" t="str">
        <f t="shared" si="314"/>
        <v>-</v>
      </c>
      <c r="CC81" s="52" t="str">
        <f t="shared" si="315"/>
        <v>-</v>
      </c>
      <c r="CD81" s="52" t="str">
        <f t="shared" si="316"/>
        <v>-</v>
      </c>
      <c r="CE81" s="52" t="str">
        <f t="shared" si="317"/>
        <v>-</v>
      </c>
      <c r="CF81" s="52" t="str">
        <f t="shared" si="318"/>
        <v>-</v>
      </c>
      <c r="CG81" s="52" t="str">
        <f t="shared" si="319"/>
        <v>-</v>
      </c>
      <c r="CH81" s="52" t="str">
        <f t="shared" si="320"/>
        <v>-</v>
      </c>
      <c r="CI81" s="52" t="str">
        <f t="shared" si="321"/>
        <v>-</v>
      </c>
      <c r="CJ81" s="52" t="str">
        <f t="shared" si="322"/>
        <v>-</v>
      </c>
      <c r="CK81" s="52" t="str">
        <f t="shared" si="323"/>
        <v>-</v>
      </c>
      <c r="CL81" s="52" t="str">
        <f t="shared" si="324"/>
        <v>-</v>
      </c>
      <c r="CM81" s="52" t="str">
        <f t="shared" si="325"/>
        <v>-</v>
      </c>
      <c r="CN81" s="52" t="str">
        <f t="shared" si="326"/>
        <v>-</v>
      </c>
      <c r="CO81" s="53" t="str">
        <f t="shared" si="327"/>
        <v>-</v>
      </c>
      <c r="CQ81" s="305" t="str">
        <f t="shared" si="378"/>
        <v>-</v>
      </c>
      <c r="CR81" s="305" t="str">
        <f t="shared" si="379"/>
        <v>-</v>
      </c>
      <c r="CS81" s="305" t="str">
        <f t="shared" si="380"/>
        <v>-</v>
      </c>
      <c r="CT81" s="305">
        <f t="shared" si="381"/>
        <v>47.77</v>
      </c>
      <c r="CU81" s="305" t="str">
        <f t="shared" si="382"/>
        <v>-</v>
      </c>
      <c r="CV81" s="305" t="str">
        <f t="shared" si="383"/>
        <v>-</v>
      </c>
      <c r="CX81" s="51">
        <f t="shared" si="328"/>
        <v>46.57</v>
      </c>
      <c r="CY81" s="52" t="str">
        <f t="shared" si="329"/>
        <v>-</v>
      </c>
      <c r="CZ81" s="53" t="str">
        <f t="shared" si="330"/>
        <v>-</v>
      </c>
      <c r="DA81" s="51" t="str">
        <f t="shared" si="331"/>
        <v>-</v>
      </c>
      <c r="DB81" s="52" t="str">
        <f t="shared" si="332"/>
        <v>-</v>
      </c>
      <c r="DC81" s="53" t="str">
        <f t="shared" si="333"/>
        <v>-</v>
      </c>
      <c r="DD81" s="57"/>
      <c r="DE81" s="106" t="str">
        <f t="shared" si="334"/>
        <v>-</v>
      </c>
      <c r="DF81" s="107" t="str">
        <f t="shared" si="335"/>
        <v>-</v>
      </c>
      <c r="DG81" s="107" t="str">
        <f t="shared" si="336"/>
        <v>-</v>
      </c>
      <c r="DH81" s="107">
        <f t="shared" si="337"/>
        <v>46.57</v>
      </c>
      <c r="DI81" s="107" t="str">
        <f t="shared" si="338"/>
        <v>-</v>
      </c>
      <c r="DJ81" s="107" t="str">
        <f t="shared" si="339"/>
        <v>-</v>
      </c>
      <c r="DK81" s="107" t="str">
        <f t="shared" si="340"/>
        <v>-</v>
      </c>
      <c r="DL81" s="107" t="str">
        <f t="shared" si="341"/>
        <v>-</v>
      </c>
      <c r="DM81" s="108" t="str">
        <f t="shared" si="342"/>
        <v>-</v>
      </c>
      <c r="DO81" s="106" t="str">
        <f t="shared" si="343"/>
        <v>-</v>
      </c>
      <c r="DP81" s="107" t="str">
        <f t="shared" si="344"/>
        <v>-</v>
      </c>
      <c r="DQ81" s="107" t="str">
        <f t="shared" si="345"/>
        <v>-</v>
      </c>
      <c r="DR81" s="107">
        <f t="shared" si="346"/>
        <v>46.57</v>
      </c>
      <c r="DS81" s="107" t="str">
        <f t="shared" si="347"/>
        <v>-</v>
      </c>
      <c r="DT81" s="107" t="str">
        <f t="shared" si="348"/>
        <v>-</v>
      </c>
      <c r="DU81" s="107" t="str">
        <f t="shared" si="349"/>
        <v>-</v>
      </c>
      <c r="DV81" s="107" t="str">
        <f t="shared" si="350"/>
        <v>-</v>
      </c>
      <c r="DW81" s="108" t="str">
        <f t="shared" si="351"/>
        <v>-</v>
      </c>
      <c r="DX81" s="109" t="str">
        <f t="shared" si="352"/>
        <v>-</v>
      </c>
      <c r="DY81" s="110" t="str">
        <f t="shared" si="353"/>
        <v>-</v>
      </c>
      <c r="DZ81" s="110" t="str">
        <f t="shared" si="354"/>
        <v>-</v>
      </c>
      <c r="EA81" s="110" t="str">
        <f t="shared" si="355"/>
        <v>-</v>
      </c>
      <c r="EB81" s="110" t="str">
        <f t="shared" si="356"/>
        <v>-</v>
      </c>
      <c r="EC81" s="110" t="str">
        <f t="shared" si="357"/>
        <v>-</v>
      </c>
      <c r="ED81" s="110" t="str">
        <f t="shared" si="358"/>
        <v>-</v>
      </c>
      <c r="EE81" s="110" t="str">
        <f t="shared" si="359"/>
        <v>-</v>
      </c>
      <c r="EF81" s="111" t="str">
        <f t="shared" si="360"/>
        <v>-</v>
      </c>
      <c r="EG81" s="109" t="str">
        <f t="shared" si="361"/>
        <v>-</v>
      </c>
      <c r="EH81" s="110" t="str">
        <f t="shared" si="362"/>
        <v>-</v>
      </c>
      <c r="EI81" s="110" t="str">
        <f t="shared" si="363"/>
        <v>-</v>
      </c>
      <c r="EJ81" s="110" t="str">
        <f t="shared" si="364"/>
        <v>-</v>
      </c>
      <c r="EK81" s="110" t="str">
        <f t="shared" si="365"/>
        <v>-</v>
      </c>
      <c r="EL81" s="110" t="str">
        <f t="shared" si="366"/>
        <v>-</v>
      </c>
      <c r="EM81" s="110" t="str">
        <f t="shared" si="367"/>
        <v>-</v>
      </c>
      <c r="EN81" s="110" t="str">
        <f t="shared" si="368"/>
        <v>-</v>
      </c>
      <c r="EO81" s="111" t="str">
        <f t="shared" si="369"/>
        <v>-</v>
      </c>
      <c r="EQ81" s="118">
        <f t="shared" si="370"/>
        <v>46.57</v>
      </c>
      <c r="ER81" s="119" t="str">
        <f t="shared" si="371"/>
        <v>-</v>
      </c>
      <c r="ES81" s="120" t="str">
        <f t="shared" si="372"/>
        <v>-</v>
      </c>
      <c r="ET81" s="90">
        <v>2</v>
      </c>
      <c r="EU81" s="118">
        <f t="shared" si="373"/>
        <v>2</v>
      </c>
      <c r="EV81" s="119" t="str">
        <f t="shared" si="374"/>
        <v>-</v>
      </c>
      <c r="EW81" s="120" t="str">
        <f t="shared" si="375"/>
        <v>-</v>
      </c>
    </row>
    <row r="82" spans="1:153" ht="15.75" thickBot="1" x14ac:dyDescent="0.3">
      <c r="A82" s="41"/>
      <c r="B82" s="171" t="s">
        <v>516</v>
      </c>
      <c r="C82" s="171" t="s">
        <v>517</v>
      </c>
      <c r="D82" s="42">
        <f>VLOOKUP(B82,'BASE DE DATOS'!$B$3:$E$106,2,FALSE)</f>
        <v>32.44</v>
      </c>
      <c r="E82" s="42">
        <f>VLOOKUP(B82,'BASE DE DATOS'!$B$3:$E$106,4,FALSE)</f>
        <v>1.9999999999999964</v>
      </c>
      <c r="F82" s="42">
        <f>VLOOKUP(C82,'BASE DE DATOS'!$B$3:$E$106,2,FALSE)</f>
        <v>32.1</v>
      </c>
      <c r="G82" s="42">
        <f>VLOOKUP(C82,'BASE DE DATOS'!$B$3:$E$106,4,FALSE)</f>
        <v>1.9600000000000009</v>
      </c>
      <c r="H82" s="43">
        <f t="shared" ref="H82:H94" si="387">(E82+G82)/2</f>
        <v>1.9799999999999986</v>
      </c>
      <c r="I82" s="171">
        <v>21.23</v>
      </c>
      <c r="J82" s="44">
        <f t="shared" si="384"/>
        <v>21.23</v>
      </c>
      <c r="K82" s="40">
        <f t="shared" si="385"/>
        <v>19.63</v>
      </c>
      <c r="L82" s="40">
        <f t="shared" si="386"/>
        <v>20.03</v>
      </c>
      <c r="M82" s="44">
        <f t="shared" si="376"/>
        <v>200</v>
      </c>
      <c r="N82" s="40">
        <f t="shared" si="377"/>
        <v>21.23</v>
      </c>
      <c r="O82" s="171" t="s">
        <v>120</v>
      </c>
      <c r="P82" s="19">
        <v>187.6</v>
      </c>
      <c r="Q82" s="171" t="s">
        <v>122</v>
      </c>
      <c r="R82" s="171" t="s">
        <v>133</v>
      </c>
      <c r="S82" s="171" t="s">
        <v>148</v>
      </c>
      <c r="T82" s="171" t="s">
        <v>149</v>
      </c>
      <c r="V82" s="51" t="str">
        <f t="shared" ref="V82:V94" si="388">IF(AND($H82&lt;=1.25,$Q82="R",$R82="NO",$T82="E",$M82&gt;=200,$M82&lt;=250)=TRUE,$K82,"-")</f>
        <v>-</v>
      </c>
      <c r="W82" s="52" t="str">
        <f t="shared" ref="W82:W94" si="389">IF(AND($H82&lt;=1.25,$Q82="P",$R82="NO",$T82="E",$M82&gt;=200,$M82&lt;=250)=TRUE,$K82,"-")</f>
        <v>-</v>
      </c>
      <c r="X82" s="52" t="str">
        <f t="shared" ref="X82:X94" si="390">IF(AND(1.25&lt;$H82,$H82&lt;=1.5,$Q82="R",$R82="NO",$T82="E",$M82&gt;=200,$M82&lt;=250)=TRUE,$K82,"-")</f>
        <v>-</v>
      </c>
      <c r="Y82" s="52" t="str">
        <f t="shared" ref="Y82:Y94" si="391">IF(AND(1.25&lt;$H82,$H82&lt;=1.5,$Q82="P",$R82="NO",$T82="E",$M82&gt;=200,$M82&lt;=250)=TRUE,$K82,"-")</f>
        <v>-</v>
      </c>
      <c r="Z82" s="52" t="str">
        <f t="shared" ref="Z82:Z94" si="392">IF(AND(1.5&lt;$H82,$H82&lt;=1.75,$Q82="R",$R82="NO",$T82="E",$M82&gt;=200,$M82&lt;=250)=TRUE,$K82,"-")</f>
        <v>-</v>
      </c>
      <c r="AA82" s="52" t="str">
        <f t="shared" ref="AA82:AA94" si="393">IF(AND(1.5&lt;$H82,$H82&lt;=1.75,$Q82="P",$R82="NO",$T82="E",$M82&gt;=200,$M82&lt;=250)=TRUE,$K82,"-")</f>
        <v>-</v>
      </c>
      <c r="AB82" s="52" t="str">
        <f t="shared" ref="AB82:AB94" si="394">IF(AND(1.75&lt;$H82,$H82&lt;=2,$Q82="R",$R82="NO",$T82="E",$M82&gt;=200,$M82&lt;=250)=TRUE,$K82,"-")</f>
        <v>-</v>
      </c>
      <c r="AC82" s="52" t="str">
        <f t="shared" ref="AC82:AC94" si="395">IF(AND(1.75&lt;$H82,$H82&lt;=2,$Q82="P",$R82="NO",$T82="E",$M82&gt;=200,$M82&lt;=250)=TRUE,$K82,"-")</f>
        <v>-</v>
      </c>
      <c r="AD82" s="52" t="str">
        <f t="shared" ref="AD82:AD94" si="396">IF(AND(2&lt;$H82,$H82&lt;=2.5,$Q82="R",$R82="NO",$T82="E",$M82&gt;=200,$M82&lt;=250)=TRUE,$K82,"-")</f>
        <v>-</v>
      </c>
      <c r="AE82" s="52" t="str">
        <f t="shared" ref="AE82:AE94" si="397">IF(AND(2&lt;$H82,$H82&lt;=2.5,$Q82="P",$R82="NO",$T82="E",$M82&gt;=200,$M82&lt;=250)=TRUE,$K82,"-")</f>
        <v>-</v>
      </c>
      <c r="AF82" s="52" t="str">
        <f t="shared" ref="AF82:AF94" si="398">IF(AND(2.5&lt;$H82,$H82&lt;=3,$Q82="R",$R82="NO",$T82="E",$M82&gt;=200,$M82&lt;=250)=TRUE,$K82,"-")</f>
        <v>-</v>
      </c>
      <c r="AG82" s="52" t="str">
        <f t="shared" ref="AG82:AG94" si="399">IF(AND(2.5&lt;$H82,$H82&lt;=3,$Q82="P",$R82="NO",$T82="E",$M82&gt;=200,$M82&lt;=250)=TRUE,$K82,"-")</f>
        <v>-</v>
      </c>
      <c r="AH82" s="52" t="str">
        <f t="shared" ref="AH82:AH94" si="400">IF(AND(3&lt;$H82,$H82&lt;=3.5,$Q82="R",$R82="NO",$T82="E",$M82&gt;=200,$M82&lt;=250)=TRUE,$K82,"-")</f>
        <v>-</v>
      </c>
      <c r="AI82" s="52" t="str">
        <f t="shared" ref="AI82:AI94" si="401">IF(AND(3&lt;$H82,$H82&lt;=3.5,$Q82="P",$R82="NO",$T82="E",$M82&gt;=200,$M82&lt;=250)=TRUE,$K82,"-")</f>
        <v>-</v>
      </c>
      <c r="AJ82" s="52" t="str">
        <f t="shared" ref="AJ82:AJ94" si="402">IF(AND(3.5&lt;$H82,$H82&lt;=4,$Q82="R",$R82="NO",$T82="E",$M82&gt;=200,$M82&lt;=250)=TRUE,$K82,"-")</f>
        <v>-</v>
      </c>
      <c r="AK82" s="52" t="str">
        <f t="shared" ref="AK82:AK94" si="403">IF(AND(3.5&lt;$H82,$H82&lt;=4,$Q82="P",$R82="NO",$T82="E",$M82&gt;=200,$M82&lt;=250)=TRUE,$K82,"-")</f>
        <v>-</v>
      </c>
      <c r="AL82" s="52" t="str">
        <f t="shared" ref="AL82:AL94" si="404">IF(AND(5&lt;$H82,$H82&lt;=6,$Q82="R",$R82="NO",$T82="E",$M82&gt;=200,$M82&lt;=250)=TRUE,$K82,"-")</f>
        <v>-</v>
      </c>
      <c r="AM82" s="53" t="str">
        <f t="shared" ref="AM82:AM94" si="405">IF(AND(5&lt;$H82,$H82&lt;=6,$Q82="P",$R82="NO",$T82="E",$M82&gt;=200,$M82&lt;=250)=TRUE,$K82,"-")</f>
        <v>-</v>
      </c>
      <c r="AN82" s="51" t="str">
        <f t="shared" ref="AN82:AN94" si="406">IF(AND($H82&lt;=1.25,$Q82="R",$R82="NO",$T82="E",$M82&gt;=300,$M82&lt;=350)=TRUE,$K82,"-")</f>
        <v>-</v>
      </c>
      <c r="AO82" s="52" t="str">
        <f t="shared" ref="AO82:AO94" si="407">IF(AND($H82&lt;=1.25,$Q82="P",$R82="NO",$T82="E",$M82&gt;=300,$M82&lt;=350)=TRUE,$K82,"-")</f>
        <v>-</v>
      </c>
      <c r="AP82" s="52" t="str">
        <f t="shared" ref="AP82:AP94" si="408">IF(AND(1.25&lt;$H82,$H82&lt;=1.5,$Q82="R",$R82="NO",$T82="E",$M82&gt;=300,$M82&lt;=350)=TRUE,$K82,"-")</f>
        <v>-</v>
      </c>
      <c r="AQ82" s="52" t="str">
        <f t="shared" ref="AQ82:AQ94" si="409">IF(AND(1.25&lt;$H82,$H82&lt;=1.5,$Q82="P",$R82="NO",$T82="E",$M82&gt;=300,$M82&lt;=350)=TRUE,$K82,"-")</f>
        <v>-</v>
      </c>
      <c r="AR82" s="52" t="str">
        <f t="shared" ref="AR82:AR94" si="410">IF(AND(1.5&lt;$H82,$H82&lt;=1.75,$Q82="R",$R82="NO",$T82="E",$M82&gt;=300,$M82&lt;=350)=TRUE,$K82,"-")</f>
        <v>-</v>
      </c>
      <c r="AS82" s="52" t="str">
        <f t="shared" ref="AS82:AS94" si="411">IF(AND(1.5&lt;$H82,$H82&lt;=1.75,$Q82="P",$R82="NO",$T82="E",$M82&gt;=300,$M82&lt;=350)=TRUE,$K82,"-")</f>
        <v>-</v>
      </c>
      <c r="AT82" s="52" t="str">
        <f t="shared" ref="AT82:AT94" si="412">IF(AND(1.75&lt;$H82,$H82&lt;=2,$Q82="R",$R82="NO",$T82="E",$M82&gt;=300,$M82&lt;=350)=TRUE,$K82,"-")</f>
        <v>-</v>
      </c>
      <c r="AU82" s="52" t="str">
        <f t="shared" ref="AU82:AU94" si="413">IF(AND(1.75&lt;$H82,$H82&lt;=2,$Q82="P",$R82="NO",$T82="E",$M82&gt;=300,$M82&lt;=350)=TRUE,$K82,"-")</f>
        <v>-</v>
      </c>
      <c r="AV82" s="52" t="str">
        <f t="shared" ref="AV82:AV94" si="414">IF(AND(2&lt;$H82,$H82&lt;=2.5,$Q82="R",$R82="NO",$T82="E",$M82&gt;=300,$M82&lt;=350)=TRUE,$K82,"-")</f>
        <v>-</v>
      </c>
      <c r="AW82" s="52" t="str">
        <f t="shared" ref="AW82:AW94" si="415">IF(AND(2&lt;$H82,$H82&lt;=2.5,$Q82="P",$R82="NO",$T82="E",$M82&gt;=300,$M82&lt;=350)=TRUE,$K82,"-")</f>
        <v>-</v>
      </c>
      <c r="AX82" s="52" t="str">
        <f t="shared" ref="AX82:AX94" si="416">IF(AND(2.5&lt;$H82,$H82&lt;=3,$Q82="R",$R82="NO",$T82="E",$M82&gt;=300,$M82&lt;=350)=TRUE,$K82,"-")</f>
        <v>-</v>
      </c>
      <c r="AY82" s="52" t="str">
        <f t="shared" ref="AY82:AY94" si="417">IF(AND(2.5&lt;$H82,$H82&lt;=3,$Q82="P",$R82="NO",$T82="E",$M82&gt;=300,$M82&lt;=350)=TRUE,$K82,"-")</f>
        <v>-</v>
      </c>
      <c r="AZ82" s="52" t="str">
        <f t="shared" ref="AZ82:AZ94" si="418">IF(AND(3&lt;$H82,$H82&lt;=3.5,$Q82="R",$R82="NO",$T82="E",$M82&gt;=300,$M82&lt;=350)=TRUE,$K82,"-")</f>
        <v>-</v>
      </c>
      <c r="BA82" s="52" t="str">
        <f t="shared" ref="BA82:BA94" si="419">IF(AND(3&lt;$H82,$H82&lt;=3.5,$Q82="P",$R82="NO",$T82="E",$M82&gt;=300,$M82&lt;=350)=TRUE,$K82,"-")</f>
        <v>-</v>
      </c>
      <c r="BB82" s="52" t="str">
        <f t="shared" ref="BB82:BB94" si="420">IF(AND(3.5&lt;$H82,$H82&lt;=4,$Q82="R",$R82="NO",$T82="E",$M82&gt;=300,$M82&lt;=350)=TRUE,$K82,"-")</f>
        <v>-</v>
      </c>
      <c r="BC82" s="52" t="str">
        <f t="shared" ref="BC82:BC94" si="421">IF(AND(3.5&lt;$H82,$H82&lt;=4,$Q82="P",$R82="NO",$T82="E",$M82&gt;=300,$M82&lt;=350)=TRUE,$K82,"-")</f>
        <v>-</v>
      </c>
      <c r="BD82" s="52" t="str">
        <f t="shared" ref="BD82:BD94" si="422">IF(AND(5&lt;$H82,$H82&lt;=6,$Q82="R",$R82="NO",$T82="E",$M82&gt;=300,$M82&lt;=350)=TRUE,$K82,"-")</f>
        <v>-</v>
      </c>
      <c r="BE82" s="53" t="str">
        <f t="shared" ref="BE82:BE94" si="423">IF(AND(5&lt;$H82,$H82&lt;=6,$Q82="P",$R82="NO",$T82="E",$M82&gt;=300,$M82&lt;=350)=TRUE,$K82,"-")</f>
        <v>-</v>
      </c>
      <c r="BF82" s="51" t="str">
        <f t="shared" ref="BF82:BF94" si="424">IF(AND($H82&lt;=1.25,$Q82="R",$R82="NO",$T82="M",$M82&gt;=200,$M82&lt;=250)=TRUE,$K82,"-")</f>
        <v>-</v>
      </c>
      <c r="BG82" s="52" t="str">
        <f t="shared" ref="BG82:BG94" si="425">IF(AND($H82&lt;=1.25,$Q82="P",$R82="NO",$T82="M",$M82&gt;=200,$M82&lt;=250)=TRUE,$K82,"-")</f>
        <v>-</v>
      </c>
      <c r="BH82" s="52" t="str">
        <f t="shared" ref="BH82:BH94" si="426">IF(AND(1.25&lt;$H82,$H82&lt;=1.5,$Q82="R",$R82="NO",$T82="M",$M82&gt;=200,$M82&lt;=250)=TRUE,$K82,"-")</f>
        <v>-</v>
      </c>
      <c r="BI82" s="52" t="str">
        <f t="shared" ref="BI82:BI94" si="427">IF(AND(1.25&lt;$H82,$H82&lt;=1.5,$Q82="P",$R82="NO",$T82="M",$M82&gt;=200,$M82&lt;=250)=TRUE,$K82,"-")</f>
        <v>-</v>
      </c>
      <c r="BJ82" s="52" t="str">
        <f t="shared" ref="BJ82:BJ94" si="428">IF(AND(1.5&lt;$H82,$H82&lt;=1.75,$Q82="R",$R82="NO",$T82="M",$M82&gt;=200,$M82&lt;=250)=TRUE,$K82,"-")</f>
        <v>-</v>
      </c>
      <c r="BK82" s="52" t="str">
        <f t="shared" ref="BK82:BK94" si="429">IF(AND(1.5&lt;$H82,$H82&lt;=1.75,$Q82="P",$R82="NO",$T82="M",$M82&gt;=200,$M82&lt;=250)=TRUE,$K82,"-")</f>
        <v>-</v>
      </c>
      <c r="BL82" s="52">
        <f t="shared" ref="BL82:BL94" si="430">IF(AND(1.75&lt;$H82,$H82&lt;=2,$Q82="R",$R82="NO",$T82="M",$M82&gt;=200,$M82&lt;=250)=TRUE,$K82,"-")</f>
        <v>19.63</v>
      </c>
      <c r="BM82" s="52" t="str">
        <f t="shared" ref="BM82:BM94" si="431">IF(AND(1.75&lt;$H82,$H82&lt;=2,$Q82="P",$R82="NO",$T82="M",$M82&gt;=200,$M82&lt;=250)=TRUE,$K82,"-")</f>
        <v>-</v>
      </c>
      <c r="BN82" s="52" t="str">
        <f t="shared" ref="BN82:BN94" si="432">IF(AND(2&lt;$H82,$H82&lt;=2.5,$Q82="R",$R82="NO",$T82="M",$M82&gt;=200,$M82&lt;=250)=TRUE,$K82,"-")</f>
        <v>-</v>
      </c>
      <c r="BO82" s="52" t="str">
        <f t="shared" ref="BO82:BO94" si="433">IF(AND(2&lt;$H82,$H82&lt;=2.5,$Q82="P",$R82="NO",$T82="M",$M82&gt;=200,$M82&lt;=250)=TRUE,$K82,"-")</f>
        <v>-</v>
      </c>
      <c r="BP82" s="52" t="str">
        <f t="shared" ref="BP82:BP94" si="434">IF(AND(2.5&lt;$H82,$H82&lt;=3,$Q82="R",$R82="NO",$T82="M",$M82&gt;=200,$M82&lt;=250)=TRUE,$K82,"-")</f>
        <v>-</v>
      </c>
      <c r="BQ82" s="52" t="str">
        <f t="shared" ref="BQ82:BQ94" si="435">IF(AND(2.5&lt;$H82,$H82&lt;=3,$Q82="P",$R82="NO",$T82="M",$M82&gt;=200,$M82&lt;=250)=TRUE,$K82,"-")</f>
        <v>-</v>
      </c>
      <c r="BR82" s="52" t="str">
        <f t="shared" ref="BR82:BR94" si="436">IF(AND(3&lt;$H82,$H82&lt;=3.5,$Q82="R",$R82="NO",$T82="M",$M82&gt;=200,$M82&lt;=250)=TRUE,$K82,"-")</f>
        <v>-</v>
      </c>
      <c r="BS82" s="52" t="str">
        <f t="shared" ref="BS82:BS94" si="437">IF(AND(3&lt;$H82,$H82&lt;=3.5,$Q82="P",$R82="NO",$T82="M",$M82&gt;=200,$M82&lt;=250)=TRUE,$K82,"-")</f>
        <v>-</v>
      </c>
      <c r="BT82" s="52" t="str">
        <f t="shared" ref="BT82:BT94" si="438">IF(AND(3.5&lt;$H82,$H82&lt;=4,$Q82="R",$R82="NO",$T82="M",$M82&gt;=200,$M82&lt;=250)=TRUE,$K82,"-")</f>
        <v>-</v>
      </c>
      <c r="BU82" s="52" t="str">
        <f t="shared" ref="BU82:BU94" si="439">IF(AND(3.5&lt;$H82,$H82&lt;=4,$Q82="P",$R82="NO",$T82="M",$M82&gt;=200,$M82&lt;=250)=TRUE,$K82,"-")</f>
        <v>-</v>
      </c>
      <c r="BV82" s="52" t="str">
        <f t="shared" ref="BV82:BV94" si="440">IF(AND(5&lt;$H82,$H82&lt;=6,$Q82="R",$R82="NO",$T82="M",$M82&gt;=200,$M82&lt;=250)=TRUE,$K82,"-")</f>
        <v>-</v>
      </c>
      <c r="BW82" s="53" t="str">
        <f t="shared" ref="BW82:BW94" si="441">IF(AND(5&lt;$H82,$H82&lt;=6,$Q82="P",$R82="NO",$T82="M",$M82&gt;=200,$M82&lt;=250)=TRUE,$K82,"-")</f>
        <v>-</v>
      </c>
      <c r="BX82" s="51" t="str">
        <f t="shared" ref="BX82:BX94" si="442">IF(AND($H82&lt;=1.25,$Q82="R",$R82="NO",$T82="M",$M82&gt;=300,$M82&lt;=350)=TRUE,$K82,"-")</f>
        <v>-</v>
      </c>
      <c r="BY82" s="52" t="str">
        <f t="shared" ref="BY82:BY94" si="443">IF(AND($H82&lt;=1.25,$Q82="P",$R82="NO",$T82="M",$M82&gt;=300,$M82&lt;=350)=TRUE,$K82,"-")</f>
        <v>-</v>
      </c>
      <c r="BZ82" s="52" t="str">
        <f t="shared" ref="BZ82:BZ94" si="444">IF(AND(1.25&lt;$H82,$H82&lt;=1.5,$Q82="R",$R82="NO",$T82="M",$M82&gt;=300,$M82&lt;=350)=TRUE,$K82,"-")</f>
        <v>-</v>
      </c>
      <c r="CA82" s="52" t="str">
        <f t="shared" ref="CA82:CA94" si="445">IF(AND(1.25&lt;$H82,$H82&lt;=1.5,$Q82="P",$R82="NO",$T82="M",$M82&gt;=300,$M82&lt;=350)=TRUE,$K82,"-")</f>
        <v>-</v>
      </c>
      <c r="CB82" s="52" t="str">
        <f t="shared" ref="CB82:CB94" si="446">IF(AND(1.5&lt;$H82,$H82&lt;=1.75,$Q82="R",$R82="NO",$T82="M",$M82&gt;=300,$M82&lt;=350)=TRUE,$K82,"-")</f>
        <v>-</v>
      </c>
      <c r="CC82" s="52" t="str">
        <f t="shared" ref="CC82:CC94" si="447">IF(AND(1.5&lt;$H82,$H82&lt;=1.75,$Q82="P",$R82="NO",$T82="M",$M82&gt;=300,$M82&lt;=350)=TRUE,$K82,"-")</f>
        <v>-</v>
      </c>
      <c r="CD82" s="52" t="str">
        <f t="shared" ref="CD82:CD94" si="448">IF(AND(1.75&lt;$H82,$H82&lt;=2,$Q82="R",$R82="NO",$T82="M",$M82&gt;=300,$M82&lt;=350)=TRUE,$K82,"-")</f>
        <v>-</v>
      </c>
      <c r="CE82" s="52" t="str">
        <f t="shared" ref="CE82:CE94" si="449">IF(AND(1.75&lt;$H82,$H82&lt;=2,$Q82="P",$R82="NO",$T82="M",$M82&gt;=300,$M82&lt;=350)=TRUE,$K82,"-")</f>
        <v>-</v>
      </c>
      <c r="CF82" s="52" t="str">
        <f t="shared" ref="CF82:CF94" si="450">IF(AND(2&lt;$H82,$H82&lt;=2.5,$Q82="R",$R82="NO",$T82="M",$M82&gt;=300,$M82&lt;=350)=TRUE,$K82,"-")</f>
        <v>-</v>
      </c>
      <c r="CG82" s="52" t="str">
        <f t="shared" ref="CG82:CG94" si="451">IF(AND(2&lt;$H82,$H82&lt;=2.5,$Q82="P",$R82="NO",$T82="M",$M82&gt;=300,$M82&lt;=350)=TRUE,$K82,"-")</f>
        <v>-</v>
      </c>
      <c r="CH82" s="52" t="str">
        <f t="shared" ref="CH82:CH94" si="452">IF(AND(2.5&lt;$H82,$H82&lt;=3,$Q82="R",$R82="NO",$T82="M",$M82&gt;=300,$M82&lt;=350)=TRUE,$K82,"-")</f>
        <v>-</v>
      </c>
      <c r="CI82" s="52" t="str">
        <f t="shared" ref="CI82:CI94" si="453">IF(AND(2.5&lt;$H82,$H82&lt;=3,$Q82="P",$R82="NO",$T82="M",$M82&gt;=300,$M82&lt;=350)=TRUE,$K82,"-")</f>
        <v>-</v>
      </c>
      <c r="CJ82" s="52" t="str">
        <f t="shared" ref="CJ82:CJ94" si="454">IF(AND(3&lt;$H82,$H82&lt;=3.5,$Q82="R",$R82="NO",$T82="M",$M82&gt;=300,$M82&lt;=350)=TRUE,$K82,"-")</f>
        <v>-</v>
      </c>
      <c r="CK82" s="52" t="str">
        <f t="shared" ref="CK82:CK94" si="455">IF(AND(3&lt;$H82,$H82&lt;=3.5,$Q82="P",$R82="NO",$T82="M",$M82&gt;=300,$M82&lt;=350)=TRUE,$K82,"-")</f>
        <v>-</v>
      </c>
      <c r="CL82" s="52" t="str">
        <f t="shared" ref="CL82:CL94" si="456">IF(AND(3.5&lt;$H82,$H82&lt;=4,$Q82="R",$R82="NO",$T82="M",$M82&gt;=300,$M82&lt;=350)=TRUE,$K82,"-")</f>
        <v>-</v>
      </c>
      <c r="CM82" s="52" t="str">
        <f t="shared" ref="CM82:CM94" si="457">IF(AND(3.5&lt;$H82,$H82&lt;=4,$Q82="P",$R82="NO",$T82="M",$M82&gt;=300,$M82&lt;=350)=TRUE,$K82,"-")</f>
        <v>-</v>
      </c>
      <c r="CN82" s="52" t="str">
        <f t="shared" ref="CN82:CN94" si="458">IF(AND(5&lt;$H82,$H82&lt;=6,$Q82="R",$R82="NO",$T82="M",$M82&gt;=300,$M82&lt;=350)=TRUE,$K82,"-")</f>
        <v>-</v>
      </c>
      <c r="CO82" s="53" t="str">
        <f t="shared" ref="CO82:CO94" si="459">IF(AND(5&lt;$H82,$H82&lt;=6,$Q82="P",$R82="NO",$T82="M",$M82&gt;=300,$M82&lt;=350)=TRUE,$K82,"-")</f>
        <v>-</v>
      </c>
      <c r="CQ82" s="305" t="str">
        <f t="shared" si="378"/>
        <v>-</v>
      </c>
      <c r="CR82" s="305" t="str">
        <f t="shared" si="379"/>
        <v>-</v>
      </c>
      <c r="CS82" s="305" t="str">
        <f t="shared" si="380"/>
        <v>-</v>
      </c>
      <c r="CT82" s="305">
        <f t="shared" si="381"/>
        <v>21.23</v>
      </c>
      <c r="CU82" s="305" t="str">
        <f t="shared" si="382"/>
        <v>-</v>
      </c>
      <c r="CV82" s="305" t="str">
        <f t="shared" si="383"/>
        <v>-</v>
      </c>
      <c r="CX82" s="51">
        <f t="shared" si="328"/>
        <v>20.03</v>
      </c>
      <c r="CY82" s="52" t="str">
        <f t="shared" si="329"/>
        <v>-</v>
      </c>
      <c r="CZ82" s="53" t="str">
        <f t="shared" si="330"/>
        <v>-</v>
      </c>
      <c r="DA82" s="51" t="str">
        <f t="shared" si="331"/>
        <v>-</v>
      </c>
      <c r="DB82" s="52" t="str">
        <f t="shared" si="332"/>
        <v>-</v>
      </c>
      <c r="DC82" s="53" t="str">
        <f t="shared" si="333"/>
        <v>-</v>
      </c>
      <c r="DD82" s="57"/>
      <c r="DE82" s="106" t="str">
        <f t="shared" si="334"/>
        <v>-</v>
      </c>
      <c r="DF82" s="107" t="str">
        <f t="shared" si="335"/>
        <v>-</v>
      </c>
      <c r="DG82" s="107" t="str">
        <f t="shared" si="336"/>
        <v>-</v>
      </c>
      <c r="DH82" s="107">
        <f t="shared" si="337"/>
        <v>20.03</v>
      </c>
      <c r="DI82" s="107" t="str">
        <f t="shared" si="338"/>
        <v>-</v>
      </c>
      <c r="DJ82" s="107" t="str">
        <f t="shared" si="339"/>
        <v>-</v>
      </c>
      <c r="DK82" s="107" t="str">
        <f t="shared" si="340"/>
        <v>-</v>
      </c>
      <c r="DL82" s="107" t="str">
        <f t="shared" si="341"/>
        <v>-</v>
      </c>
      <c r="DM82" s="108" t="str">
        <f t="shared" si="342"/>
        <v>-</v>
      </c>
      <c r="DO82" s="106" t="str">
        <f t="shared" si="343"/>
        <v>-</v>
      </c>
      <c r="DP82" s="107" t="str">
        <f t="shared" si="344"/>
        <v>-</v>
      </c>
      <c r="DQ82" s="107" t="str">
        <f t="shared" si="345"/>
        <v>-</v>
      </c>
      <c r="DR82" s="107">
        <f t="shared" si="346"/>
        <v>20.03</v>
      </c>
      <c r="DS82" s="107" t="str">
        <f t="shared" si="347"/>
        <v>-</v>
      </c>
      <c r="DT82" s="107" t="str">
        <f t="shared" si="348"/>
        <v>-</v>
      </c>
      <c r="DU82" s="107" t="str">
        <f t="shared" si="349"/>
        <v>-</v>
      </c>
      <c r="DV82" s="107" t="str">
        <f t="shared" si="350"/>
        <v>-</v>
      </c>
      <c r="DW82" s="108" t="str">
        <f t="shared" si="351"/>
        <v>-</v>
      </c>
      <c r="DX82" s="109" t="str">
        <f t="shared" si="352"/>
        <v>-</v>
      </c>
      <c r="DY82" s="110" t="str">
        <f t="shared" si="353"/>
        <v>-</v>
      </c>
      <c r="DZ82" s="110" t="str">
        <f t="shared" si="354"/>
        <v>-</v>
      </c>
      <c r="EA82" s="110" t="str">
        <f t="shared" si="355"/>
        <v>-</v>
      </c>
      <c r="EB82" s="110" t="str">
        <f t="shared" si="356"/>
        <v>-</v>
      </c>
      <c r="EC82" s="110" t="str">
        <f t="shared" si="357"/>
        <v>-</v>
      </c>
      <c r="ED82" s="110" t="str">
        <f t="shared" si="358"/>
        <v>-</v>
      </c>
      <c r="EE82" s="110" t="str">
        <f t="shared" si="359"/>
        <v>-</v>
      </c>
      <c r="EF82" s="111" t="str">
        <f t="shared" si="360"/>
        <v>-</v>
      </c>
      <c r="EG82" s="109" t="str">
        <f t="shared" si="361"/>
        <v>-</v>
      </c>
      <c r="EH82" s="110" t="str">
        <f t="shared" si="362"/>
        <v>-</v>
      </c>
      <c r="EI82" s="110" t="str">
        <f t="shared" si="363"/>
        <v>-</v>
      </c>
      <c r="EJ82" s="110" t="str">
        <f t="shared" si="364"/>
        <v>-</v>
      </c>
      <c r="EK82" s="110" t="str">
        <f t="shared" si="365"/>
        <v>-</v>
      </c>
      <c r="EL82" s="110" t="str">
        <f t="shared" si="366"/>
        <v>-</v>
      </c>
      <c r="EM82" s="110" t="str">
        <f t="shared" si="367"/>
        <v>-</v>
      </c>
      <c r="EN82" s="110" t="str">
        <f t="shared" si="368"/>
        <v>-</v>
      </c>
      <c r="EO82" s="111" t="str">
        <f t="shared" si="369"/>
        <v>-</v>
      </c>
      <c r="EQ82" s="118">
        <f t="shared" si="370"/>
        <v>20.03</v>
      </c>
      <c r="ER82" s="119" t="str">
        <f t="shared" si="371"/>
        <v>-</v>
      </c>
      <c r="ES82" s="120" t="str">
        <f t="shared" si="372"/>
        <v>-</v>
      </c>
      <c r="ET82" s="90">
        <v>2</v>
      </c>
      <c r="EU82" s="118">
        <f t="shared" si="373"/>
        <v>2</v>
      </c>
      <c r="EV82" s="119" t="str">
        <f t="shared" si="374"/>
        <v>-</v>
      </c>
      <c r="EW82" s="120" t="str">
        <f t="shared" si="375"/>
        <v>-</v>
      </c>
    </row>
    <row r="83" spans="1:153" ht="15.75" thickBot="1" x14ac:dyDescent="0.3">
      <c r="A83" s="41"/>
      <c r="B83" s="171" t="s">
        <v>517</v>
      </c>
      <c r="C83" s="171" t="s">
        <v>518</v>
      </c>
      <c r="D83" s="38">
        <f>VLOOKUP(B83,'BASE DE DATOS'!$B$3:$E$106,2,FALSE)</f>
        <v>32.1</v>
      </c>
      <c r="E83" s="38">
        <f>VLOOKUP(B83,'BASE DE DATOS'!$B$3:$E$106,4,FALSE)</f>
        <v>1.9600000000000009</v>
      </c>
      <c r="F83" s="38">
        <f>VLOOKUP(C83,'BASE DE DATOS'!$B$3:$E$106,2,FALSE)</f>
        <v>32.15</v>
      </c>
      <c r="G83" s="38">
        <f>VLOOKUP(C83,'BASE DE DATOS'!$B$3:$E$106,4,FALSE)</f>
        <v>2.3499999999999979</v>
      </c>
      <c r="H83" s="39">
        <f t="shared" si="387"/>
        <v>2.1549999999999994</v>
      </c>
      <c r="I83" s="171">
        <v>5.52</v>
      </c>
      <c r="J83" s="44">
        <f t="shared" si="384"/>
        <v>5.53</v>
      </c>
      <c r="K83" s="40">
        <f t="shared" si="385"/>
        <v>3.93</v>
      </c>
      <c r="L83" s="40">
        <f t="shared" si="386"/>
        <v>4.33</v>
      </c>
      <c r="M83" s="44">
        <f t="shared" si="376"/>
        <v>200</v>
      </c>
      <c r="N83" s="40">
        <f t="shared" si="377"/>
        <v>5.52</v>
      </c>
      <c r="O83" s="171" t="s">
        <v>120</v>
      </c>
      <c r="P83" s="19">
        <v>187.6</v>
      </c>
      <c r="Q83" s="171" t="s">
        <v>122</v>
      </c>
      <c r="R83" s="171" t="s">
        <v>133</v>
      </c>
      <c r="S83" s="171" t="s">
        <v>148</v>
      </c>
      <c r="T83" s="171" t="s">
        <v>149</v>
      </c>
      <c r="V83" s="51" t="str">
        <f t="shared" si="388"/>
        <v>-</v>
      </c>
      <c r="W83" s="52" t="str">
        <f t="shared" si="389"/>
        <v>-</v>
      </c>
      <c r="X83" s="52" t="str">
        <f t="shared" si="390"/>
        <v>-</v>
      </c>
      <c r="Y83" s="52" t="str">
        <f t="shared" si="391"/>
        <v>-</v>
      </c>
      <c r="Z83" s="52" t="str">
        <f t="shared" si="392"/>
        <v>-</v>
      </c>
      <c r="AA83" s="52" t="str">
        <f t="shared" si="393"/>
        <v>-</v>
      </c>
      <c r="AB83" s="52" t="str">
        <f t="shared" si="394"/>
        <v>-</v>
      </c>
      <c r="AC83" s="52" t="str">
        <f t="shared" si="395"/>
        <v>-</v>
      </c>
      <c r="AD83" s="52" t="str">
        <f t="shared" si="396"/>
        <v>-</v>
      </c>
      <c r="AE83" s="52" t="str">
        <f t="shared" si="397"/>
        <v>-</v>
      </c>
      <c r="AF83" s="52" t="str">
        <f t="shared" si="398"/>
        <v>-</v>
      </c>
      <c r="AG83" s="52" t="str">
        <f t="shared" si="399"/>
        <v>-</v>
      </c>
      <c r="AH83" s="52" t="str">
        <f t="shared" si="400"/>
        <v>-</v>
      </c>
      <c r="AI83" s="52" t="str">
        <f t="shared" si="401"/>
        <v>-</v>
      </c>
      <c r="AJ83" s="52" t="str">
        <f t="shared" si="402"/>
        <v>-</v>
      </c>
      <c r="AK83" s="52" t="str">
        <f t="shared" si="403"/>
        <v>-</v>
      </c>
      <c r="AL83" s="52" t="str">
        <f t="shared" si="404"/>
        <v>-</v>
      </c>
      <c r="AM83" s="53" t="str">
        <f t="shared" si="405"/>
        <v>-</v>
      </c>
      <c r="AN83" s="51" t="str">
        <f t="shared" si="406"/>
        <v>-</v>
      </c>
      <c r="AO83" s="52" t="str">
        <f t="shared" si="407"/>
        <v>-</v>
      </c>
      <c r="AP83" s="52" t="str">
        <f t="shared" si="408"/>
        <v>-</v>
      </c>
      <c r="AQ83" s="52" t="str">
        <f t="shared" si="409"/>
        <v>-</v>
      </c>
      <c r="AR83" s="52" t="str">
        <f t="shared" si="410"/>
        <v>-</v>
      </c>
      <c r="AS83" s="52" t="str">
        <f t="shared" si="411"/>
        <v>-</v>
      </c>
      <c r="AT83" s="52" t="str">
        <f t="shared" si="412"/>
        <v>-</v>
      </c>
      <c r="AU83" s="52" t="str">
        <f t="shared" si="413"/>
        <v>-</v>
      </c>
      <c r="AV83" s="52" t="str">
        <f t="shared" si="414"/>
        <v>-</v>
      </c>
      <c r="AW83" s="52" t="str">
        <f t="shared" si="415"/>
        <v>-</v>
      </c>
      <c r="AX83" s="52" t="str">
        <f t="shared" si="416"/>
        <v>-</v>
      </c>
      <c r="AY83" s="52" t="str">
        <f t="shared" si="417"/>
        <v>-</v>
      </c>
      <c r="AZ83" s="52" t="str">
        <f t="shared" si="418"/>
        <v>-</v>
      </c>
      <c r="BA83" s="52" t="str">
        <f t="shared" si="419"/>
        <v>-</v>
      </c>
      <c r="BB83" s="52" t="str">
        <f t="shared" si="420"/>
        <v>-</v>
      </c>
      <c r="BC83" s="52" t="str">
        <f t="shared" si="421"/>
        <v>-</v>
      </c>
      <c r="BD83" s="52" t="str">
        <f t="shared" si="422"/>
        <v>-</v>
      </c>
      <c r="BE83" s="53" t="str">
        <f t="shared" si="423"/>
        <v>-</v>
      </c>
      <c r="BF83" s="51" t="str">
        <f t="shared" si="424"/>
        <v>-</v>
      </c>
      <c r="BG83" s="52" t="str">
        <f t="shared" si="425"/>
        <v>-</v>
      </c>
      <c r="BH83" s="52" t="str">
        <f t="shared" si="426"/>
        <v>-</v>
      </c>
      <c r="BI83" s="52" t="str">
        <f t="shared" si="427"/>
        <v>-</v>
      </c>
      <c r="BJ83" s="52" t="str">
        <f t="shared" si="428"/>
        <v>-</v>
      </c>
      <c r="BK83" s="52" t="str">
        <f t="shared" si="429"/>
        <v>-</v>
      </c>
      <c r="BL83" s="52" t="str">
        <f t="shared" si="430"/>
        <v>-</v>
      </c>
      <c r="BM83" s="52" t="str">
        <f t="shared" si="431"/>
        <v>-</v>
      </c>
      <c r="BN83" s="52">
        <f t="shared" si="432"/>
        <v>3.93</v>
      </c>
      <c r="BO83" s="52" t="str">
        <f t="shared" si="433"/>
        <v>-</v>
      </c>
      <c r="BP83" s="52" t="str">
        <f t="shared" si="434"/>
        <v>-</v>
      </c>
      <c r="BQ83" s="52" t="str">
        <f t="shared" si="435"/>
        <v>-</v>
      </c>
      <c r="BR83" s="52" t="str">
        <f t="shared" si="436"/>
        <v>-</v>
      </c>
      <c r="BS83" s="52" t="str">
        <f t="shared" si="437"/>
        <v>-</v>
      </c>
      <c r="BT83" s="52" t="str">
        <f t="shared" si="438"/>
        <v>-</v>
      </c>
      <c r="BU83" s="52" t="str">
        <f t="shared" si="439"/>
        <v>-</v>
      </c>
      <c r="BV83" s="52" t="str">
        <f t="shared" si="440"/>
        <v>-</v>
      </c>
      <c r="BW83" s="53" t="str">
        <f t="shared" si="441"/>
        <v>-</v>
      </c>
      <c r="BX83" s="51" t="str">
        <f t="shared" si="442"/>
        <v>-</v>
      </c>
      <c r="BY83" s="52" t="str">
        <f t="shared" si="443"/>
        <v>-</v>
      </c>
      <c r="BZ83" s="52" t="str">
        <f t="shared" si="444"/>
        <v>-</v>
      </c>
      <c r="CA83" s="52" t="str">
        <f t="shared" si="445"/>
        <v>-</v>
      </c>
      <c r="CB83" s="52" t="str">
        <f t="shared" si="446"/>
        <v>-</v>
      </c>
      <c r="CC83" s="52" t="str">
        <f t="shared" si="447"/>
        <v>-</v>
      </c>
      <c r="CD83" s="52" t="str">
        <f t="shared" si="448"/>
        <v>-</v>
      </c>
      <c r="CE83" s="52" t="str">
        <f t="shared" si="449"/>
        <v>-</v>
      </c>
      <c r="CF83" s="52" t="str">
        <f t="shared" si="450"/>
        <v>-</v>
      </c>
      <c r="CG83" s="52" t="str">
        <f t="shared" si="451"/>
        <v>-</v>
      </c>
      <c r="CH83" s="52" t="str">
        <f t="shared" si="452"/>
        <v>-</v>
      </c>
      <c r="CI83" s="52" t="str">
        <f t="shared" si="453"/>
        <v>-</v>
      </c>
      <c r="CJ83" s="52" t="str">
        <f t="shared" si="454"/>
        <v>-</v>
      </c>
      <c r="CK83" s="52" t="str">
        <f t="shared" si="455"/>
        <v>-</v>
      </c>
      <c r="CL83" s="52" t="str">
        <f t="shared" si="456"/>
        <v>-</v>
      </c>
      <c r="CM83" s="52" t="str">
        <f t="shared" si="457"/>
        <v>-</v>
      </c>
      <c r="CN83" s="52" t="str">
        <f t="shared" si="458"/>
        <v>-</v>
      </c>
      <c r="CO83" s="53" t="str">
        <f t="shared" si="459"/>
        <v>-</v>
      </c>
      <c r="CQ83" s="305" t="str">
        <f t="shared" si="378"/>
        <v>-</v>
      </c>
      <c r="CR83" s="305" t="str">
        <f t="shared" si="379"/>
        <v>-</v>
      </c>
      <c r="CS83" s="305" t="str">
        <f t="shared" si="380"/>
        <v>-</v>
      </c>
      <c r="CT83" s="305">
        <f t="shared" si="381"/>
        <v>5.52</v>
      </c>
      <c r="CU83" s="305" t="str">
        <f t="shared" si="382"/>
        <v>-</v>
      </c>
      <c r="CV83" s="305" t="str">
        <f t="shared" si="383"/>
        <v>-</v>
      </c>
      <c r="CX83" s="51">
        <f t="shared" si="328"/>
        <v>4.33</v>
      </c>
      <c r="CY83" s="52" t="str">
        <f t="shared" si="329"/>
        <v>-</v>
      </c>
      <c r="CZ83" s="53" t="str">
        <f t="shared" si="330"/>
        <v>-</v>
      </c>
      <c r="DA83" s="51" t="str">
        <f t="shared" si="331"/>
        <v>-</v>
      </c>
      <c r="DB83" s="52" t="str">
        <f t="shared" si="332"/>
        <v>-</v>
      </c>
      <c r="DC83" s="53" t="str">
        <f t="shared" si="333"/>
        <v>-</v>
      </c>
      <c r="DD83" s="57"/>
      <c r="DE83" s="106" t="str">
        <f t="shared" si="334"/>
        <v>-</v>
      </c>
      <c r="DF83" s="107" t="str">
        <f t="shared" si="335"/>
        <v>-</v>
      </c>
      <c r="DG83" s="107" t="str">
        <f t="shared" si="336"/>
        <v>-</v>
      </c>
      <c r="DH83" s="107">
        <f t="shared" si="337"/>
        <v>4.33</v>
      </c>
      <c r="DI83" s="107" t="str">
        <f t="shared" si="338"/>
        <v>-</v>
      </c>
      <c r="DJ83" s="107" t="str">
        <f t="shared" si="339"/>
        <v>-</v>
      </c>
      <c r="DK83" s="107" t="str">
        <f t="shared" si="340"/>
        <v>-</v>
      </c>
      <c r="DL83" s="107" t="str">
        <f t="shared" si="341"/>
        <v>-</v>
      </c>
      <c r="DM83" s="108" t="str">
        <f t="shared" si="342"/>
        <v>-</v>
      </c>
      <c r="DO83" s="106" t="str">
        <f t="shared" si="343"/>
        <v>-</v>
      </c>
      <c r="DP83" s="107" t="str">
        <f t="shared" si="344"/>
        <v>-</v>
      </c>
      <c r="DQ83" s="107" t="str">
        <f t="shared" si="345"/>
        <v>-</v>
      </c>
      <c r="DR83" s="107">
        <f t="shared" si="346"/>
        <v>4.33</v>
      </c>
      <c r="DS83" s="107" t="str">
        <f t="shared" si="347"/>
        <v>-</v>
      </c>
      <c r="DT83" s="107" t="str">
        <f t="shared" si="348"/>
        <v>-</v>
      </c>
      <c r="DU83" s="107" t="str">
        <f t="shared" si="349"/>
        <v>-</v>
      </c>
      <c r="DV83" s="107" t="str">
        <f t="shared" si="350"/>
        <v>-</v>
      </c>
      <c r="DW83" s="108" t="str">
        <f t="shared" si="351"/>
        <v>-</v>
      </c>
      <c r="DX83" s="109" t="str">
        <f t="shared" si="352"/>
        <v>-</v>
      </c>
      <c r="DY83" s="110" t="str">
        <f t="shared" si="353"/>
        <v>-</v>
      </c>
      <c r="DZ83" s="110" t="str">
        <f t="shared" si="354"/>
        <v>-</v>
      </c>
      <c r="EA83" s="110" t="str">
        <f t="shared" si="355"/>
        <v>-</v>
      </c>
      <c r="EB83" s="110" t="str">
        <f t="shared" si="356"/>
        <v>-</v>
      </c>
      <c r="EC83" s="110" t="str">
        <f t="shared" si="357"/>
        <v>-</v>
      </c>
      <c r="ED83" s="110" t="str">
        <f t="shared" si="358"/>
        <v>-</v>
      </c>
      <c r="EE83" s="110" t="str">
        <f t="shared" si="359"/>
        <v>-</v>
      </c>
      <c r="EF83" s="111" t="str">
        <f t="shared" si="360"/>
        <v>-</v>
      </c>
      <c r="EG83" s="109" t="str">
        <f t="shared" si="361"/>
        <v>-</v>
      </c>
      <c r="EH83" s="110" t="str">
        <f t="shared" si="362"/>
        <v>-</v>
      </c>
      <c r="EI83" s="110" t="str">
        <f t="shared" si="363"/>
        <v>-</v>
      </c>
      <c r="EJ83" s="110" t="str">
        <f t="shared" si="364"/>
        <v>-</v>
      </c>
      <c r="EK83" s="110" t="str">
        <f t="shared" si="365"/>
        <v>-</v>
      </c>
      <c r="EL83" s="110" t="str">
        <f t="shared" si="366"/>
        <v>-</v>
      </c>
      <c r="EM83" s="110" t="str">
        <f t="shared" si="367"/>
        <v>-</v>
      </c>
      <c r="EN83" s="110" t="str">
        <f t="shared" si="368"/>
        <v>-</v>
      </c>
      <c r="EO83" s="111" t="str">
        <f t="shared" si="369"/>
        <v>-</v>
      </c>
      <c r="EQ83" s="118">
        <f t="shared" si="370"/>
        <v>4.33</v>
      </c>
      <c r="ER83" s="119" t="str">
        <f t="shared" si="371"/>
        <v>-</v>
      </c>
      <c r="ES83" s="120" t="str">
        <f t="shared" si="372"/>
        <v>-</v>
      </c>
      <c r="ET83" s="90">
        <v>2</v>
      </c>
      <c r="EU83" s="118">
        <f t="shared" si="373"/>
        <v>2</v>
      </c>
      <c r="EV83" s="119" t="str">
        <f t="shared" si="374"/>
        <v>-</v>
      </c>
      <c r="EW83" s="120" t="str">
        <f t="shared" si="375"/>
        <v>-</v>
      </c>
    </row>
    <row r="84" spans="1:153" s="73" customFormat="1" ht="15.75" thickBot="1" x14ac:dyDescent="0.3">
      <c r="A84" s="251"/>
      <c r="B84" s="250" t="s">
        <v>518</v>
      </c>
      <c r="C84" s="250" t="s">
        <v>532</v>
      </c>
      <c r="D84" s="252">
        <f>VLOOKUP(B84,'BASE DE DATOS'!$B$3:$E$106,2,FALSE)</f>
        <v>32.15</v>
      </c>
      <c r="E84" s="252">
        <f>VLOOKUP(B84,'BASE DE DATOS'!$B$3:$E$106,4,FALSE)</f>
        <v>2.3499999999999979</v>
      </c>
      <c r="F84" s="252">
        <f>VLOOKUP(C84,'BASE DE DATOS'!$B$3:$E$106,2,FALSE)</f>
        <v>32.1</v>
      </c>
      <c r="G84" s="252">
        <f>VLOOKUP(C84,'BASE DE DATOS'!$B$3:$E$106,4,FALSE)</f>
        <v>2.6900000000000013</v>
      </c>
      <c r="H84" s="253">
        <f t="shared" si="387"/>
        <v>2.5199999999999996</v>
      </c>
      <c r="I84" s="250">
        <v>62.17</v>
      </c>
      <c r="J84" s="254">
        <f t="shared" si="384"/>
        <v>62.17</v>
      </c>
      <c r="K84" s="255">
        <f t="shared" si="385"/>
        <v>60.57</v>
      </c>
      <c r="L84" s="255">
        <f t="shared" si="386"/>
        <v>60.97</v>
      </c>
      <c r="M84" s="255">
        <f t="shared" si="376"/>
        <v>200</v>
      </c>
      <c r="N84" s="40">
        <f t="shared" si="377"/>
        <v>62.17</v>
      </c>
      <c r="O84" s="250" t="s">
        <v>121</v>
      </c>
      <c r="P84" s="256">
        <v>187.6</v>
      </c>
      <c r="Q84" s="250" t="s">
        <v>146</v>
      </c>
      <c r="R84" s="250" t="s">
        <v>133</v>
      </c>
      <c r="S84" s="250" t="s">
        <v>147</v>
      </c>
      <c r="T84" s="250" t="s">
        <v>146</v>
      </c>
      <c r="V84" s="257" t="str">
        <f t="shared" si="388"/>
        <v>-</v>
      </c>
      <c r="W84" s="258" t="str">
        <f t="shared" si="389"/>
        <v>-</v>
      </c>
      <c r="X84" s="258" t="str">
        <f t="shared" si="390"/>
        <v>-</v>
      </c>
      <c r="Y84" s="258" t="str">
        <f t="shared" si="391"/>
        <v>-</v>
      </c>
      <c r="Z84" s="258" t="str">
        <f t="shared" si="392"/>
        <v>-</v>
      </c>
      <c r="AA84" s="258" t="str">
        <f t="shared" si="393"/>
        <v>-</v>
      </c>
      <c r="AB84" s="258" t="str">
        <f t="shared" si="394"/>
        <v>-</v>
      </c>
      <c r="AC84" s="258" t="str">
        <f t="shared" si="395"/>
        <v>-</v>
      </c>
      <c r="AD84" s="258" t="str">
        <f t="shared" si="396"/>
        <v>-</v>
      </c>
      <c r="AE84" s="258" t="str">
        <f t="shared" si="397"/>
        <v>-</v>
      </c>
      <c r="AF84" s="258" t="str">
        <f t="shared" si="398"/>
        <v>-</v>
      </c>
      <c r="AG84" s="258" t="str">
        <f t="shared" si="399"/>
        <v>-</v>
      </c>
      <c r="AH84" s="258" t="str">
        <f t="shared" si="400"/>
        <v>-</v>
      </c>
      <c r="AI84" s="258" t="str">
        <f t="shared" si="401"/>
        <v>-</v>
      </c>
      <c r="AJ84" s="258" t="str">
        <f t="shared" si="402"/>
        <v>-</v>
      </c>
      <c r="AK84" s="258" t="str">
        <f t="shared" si="403"/>
        <v>-</v>
      </c>
      <c r="AL84" s="258" t="str">
        <f t="shared" si="404"/>
        <v>-</v>
      </c>
      <c r="AM84" s="259" t="str">
        <f t="shared" si="405"/>
        <v>-</v>
      </c>
      <c r="AN84" s="257" t="str">
        <f t="shared" si="406"/>
        <v>-</v>
      </c>
      <c r="AO84" s="258" t="str">
        <f t="shared" si="407"/>
        <v>-</v>
      </c>
      <c r="AP84" s="258" t="str">
        <f t="shared" si="408"/>
        <v>-</v>
      </c>
      <c r="AQ84" s="258" t="str">
        <f t="shared" si="409"/>
        <v>-</v>
      </c>
      <c r="AR84" s="258" t="str">
        <f t="shared" si="410"/>
        <v>-</v>
      </c>
      <c r="AS84" s="258" t="str">
        <f t="shared" si="411"/>
        <v>-</v>
      </c>
      <c r="AT84" s="258" t="str">
        <f t="shared" si="412"/>
        <v>-</v>
      </c>
      <c r="AU84" s="258" t="str">
        <f t="shared" si="413"/>
        <v>-</v>
      </c>
      <c r="AV84" s="258" t="str">
        <f t="shared" si="414"/>
        <v>-</v>
      </c>
      <c r="AW84" s="258" t="str">
        <f t="shared" si="415"/>
        <v>-</v>
      </c>
      <c r="AX84" s="258" t="str">
        <f t="shared" si="416"/>
        <v>-</v>
      </c>
      <c r="AY84" s="258" t="str">
        <f t="shared" si="417"/>
        <v>-</v>
      </c>
      <c r="AZ84" s="258" t="str">
        <f t="shared" si="418"/>
        <v>-</v>
      </c>
      <c r="BA84" s="258" t="str">
        <f t="shared" si="419"/>
        <v>-</v>
      </c>
      <c r="BB84" s="258" t="str">
        <f t="shared" si="420"/>
        <v>-</v>
      </c>
      <c r="BC84" s="258" t="str">
        <f t="shared" si="421"/>
        <v>-</v>
      </c>
      <c r="BD84" s="258" t="str">
        <f t="shared" si="422"/>
        <v>-</v>
      </c>
      <c r="BE84" s="259" t="str">
        <f t="shared" si="423"/>
        <v>-</v>
      </c>
      <c r="BF84" s="257" t="str">
        <f t="shared" si="424"/>
        <v>-</v>
      </c>
      <c r="BG84" s="258" t="str">
        <f t="shared" si="425"/>
        <v>-</v>
      </c>
      <c r="BH84" s="258" t="str">
        <f t="shared" si="426"/>
        <v>-</v>
      </c>
      <c r="BI84" s="258" t="str">
        <f t="shared" si="427"/>
        <v>-</v>
      </c>
      <c r="BJ84" s="258" t="str">
        <f t="shared" si="428"/>
        <v>-</v>
      </c>
      <c r="BK84" s="258" t="str">
        <f t="shared" si="429"/>
        <v>-</v>
      </c>
      <c r="BL84" s="258" t="str">
        <f t="shared" si="430"/>
        <v>-</v>
      </c>
      <c r="BM84" s="258" t="str">
        <f t="shared" si="431"/>
        <v>-</v>
      </c>
      <c r="BN84" s="258" t="str">
        <f t="shared" si="432"/>
        <v>-</v>
      </c>
      <c r="BO84" s="258" t="str">
        <f t="shared" si="433"/>
        <v>-</v>
      </c>
      <c r="BP84" s="258" t="str">
        <f t="shared" si="434"/>
        <v>-</v>
      </c>
      <c r="BQ84" s="258" t="str">
        <f t="shared" si="435"/>
        <v>-</v>
      </c>
      <c r="BR84" s="258" t="str">
        <f t="shared" si="436"/>
        <v>-</v>
      </c>
      <c r="BS84" s="258" t="str">
        <f t="shared" si="437"/>
        <v>-</v>
      </c>
      <c r="BT84" s="258" t="str">
        <f t="shared" si="438"/>
        <v>-</v>
      </c>
      <c r="BU84" s="258" t="str">
        <f t="shared" si="439"/>
        <v>-</v>
      </c>
      <c r="BV84" s="258" t="str">
        <f t="shared" si="440"/>
        <v>-</v>
      </c>
      <c r="BW84" s="259" t="str">
        <f t="shared" si="441"/>
        <v>-</v>
      </c>
      <c r="BX84" s="257" t="str">
        <f t="shared" si="442"/>
        <v>-</v>
      </c>
      <c r="BY84" s="258" t="str">
        <f t="shared" si="443"/>
        <v>-</v>
      </c>
      <c r="BZ84" s="258" t="str">
        <f t="shared" si="444"/>
        <v>-</v>
      </c>
      <c r="CA84" s="258" t="str">
        <f t="shared" si="445"/>
        <v>-</v>
      </c>
      <c r="CB84" s="258" t="str">
        <f t="shared" si="446"/>
        <v>-</v>
      </c>
      <c r="CC84" s="258" t="str">
        <f t="shared" si="447"/>
        <v>-</v>
      </c>
      <c r="CD84" s="258" t="str">
        <f t="shared" si="448"/>
        <v>-</v>
      </c>
      <c r="CE84" s="258" t="str">
        <f t="shared" si="449"/>
        <v>-</v>
      </c>
      <c r="CF84" s="258" t="str">
        <f t="shared" si="450"/>
        <v>-</v>
      </c>
      <c r="CG84" s="258" t="str">
        <f t="shared" si="451"/>
        <v>-</v>
      </c>
      <c r="CH84" s="258" t="str">
        <f t="shared" si="452"/>
        <v>-</v>
      </c>
      <c r="CI84" s="258" t="str">
        <f t="shared" si="453"/>
        <v>-</v>
      </c>
      <c r="CJ84" s="258" t="str">
        <f t="shared" si="454"/>
        <v>-</v>
      </c>
      <c r="CK84" s="258" t="str">
        <f t="shared" si="455"/>
        <v>-</v>
      </c>
      <c r="CL84" s="258" t="str">
        <f t="shared" si="456"/>
        <v>-</v>
      </c>
      <c r="CM84" s="258" t="str">
        <f t="shared" si="457"/>
        <v>-</v>
      </c>
      <c r="CN84" s="258" t="str">
        <f t="shared" si="458"/>
        <v>-</v>
      </c>
      <c r="CO84" s="259" t="str">
        <f t="shared" si="459"/>
        <v>-</v>
      </c>
      <c r="CQ84" s="305" t="str">
        <f t="shared" si="378"/>
        <v>-</v>
      </c>
      <c r="CR84" s="305">
        <f t="shared" si="379"/>
        <v>62.17</v>
      </c>
      <c r="CS84" s="305" t="str">
        <f t="shared" si="380"/>
        <v>-</v>
      </c>
      <c r="CT84" s="305" t="str">
        <f t="shared" si="381"/>
        <v>-</v>
      </c>
      <c r="CU84" s="305" t="str">
        <f t="shared" si="382"/>
        <v>-</v>
      </c>
      <c r="CV84" s="305" t="str">
        <f t="shared" si="383"/>
        <v>-</v>
      </c>
      <c r="CX84" s="257" t="str">
        <f t="shared" si="328"/>
        <v>-</v>
      </c>
      <c r="CY84" s="258" t="str">
        <f t="shared" si="329"/>
        <v>-</v>
      </c>
      <c r="CZ84" s="259">
        <f t="shared" si="330"/>
        <v>60.97</v>
      </c>
      <c r="DA84" s="257" t="str">
        <f t="shared" si="331"/>
        <v>-</v>
      </c>
      <c r="DB84" s="258" t="str">
        <f t="shared" si="332"/>
        <v>-</v>
      </c>
      <c r="DC84" s="259" t="str">
        <f t="shared" si="333"/>
        <v>-</v>
      </c>
      <c r="DD84" s="260"/>
      <c r="DE84" s="106" t="str">
        <f t="shared" si="334"/>
        <v>-</v>
      </c>
      <c r="DF84" s="107" t="str">
        <f t="shared" si="335"/>
        <v>-</v>
      </c>
      <c r="DG84" s="107" t="str">
        <f t="shared" si="336"/>
        <v>-</v>
      </c>
      <c r="DH84" s="107" t="str">
        <f t="shared" si="337"/>
        <v>-</v>
      </c>
      <c r="DI84" s="107" t="str">
        <f t="shared" si="338"/>
        <v>-</v>
      </c>
      <c r="DJ84" s="107" t="str">
        <f t="shared" si="339"/>
        <v>-</v>
      </c>
      <c r="DK84" s="107" t="str">
        <f t="shared" si="340"/>
        <v>-</v>
      </c>
      <c r="DL84" s="107" t="str">
        <f t="shared" si="341"/>
        <v>-</v>
      </c>
      <c r="DM84" s="108" t="str">
        <f t="shared" si="342"/>
        <v>-</v>
      </c>
      <c r="DO84" s="106" t="str">
        <f t="shared" si="343"/>
        <v>-</v>
      </c>
      <c r="DP84" s="107" t="str">
        <f t="shared" si="344"/>
        <v>-</v>
      </c>
      <c r="DQ84" s="107" t="str">
        <f t="shared" si="345"/>
        <v>-</v>
      </c>
      <c r="DR84" s="107" t="str">
        <f t="shared" si="346"/>
        <v>-</v>
      </c>
      <c r="DS84" s="107" t="str">
        <f t="shared" si="347"/>
        <v>-</v>
      </c>
      <c r="DT84" s="107" t="str">
        <f t="shared" si="348"/>
        <v>-</v>
      </c>
      <c r="DU84" s="107" t="str">
        <f t="shared" si="349"/>
        <v>-</v>
      </c>
      <c r="DV84" s="107" t="str">
        <f t="shared" si="350"/>
        <v>-</v>
      </c>
      <c r="DW84" s="108" t="str">
        <f t="shared" si="351"/>
        <v>-</v>
      </c>
      <c r="DX84" s="109" t="str">
        <f t="shared" si="352"/>
        <v>-</v>
      </c>
      <c r="DY84" s="110" t="str">
        <f t="shared" si="353"/>
        <v>-</v>
      </c>
      <c r="DZ84" s="110" t="str">
        <f t="shared" si="354"/>
        <v>-</v>
      </c>
      <c r="EA84" s="110" t="str">
        <f t="shared" si="355"/>
        <v>-</v>
      </c>
      <c r="EB84" s="110" t="str">
        <f t="shared" si="356"/>
        <v>-</v>
      </c>
      <c r="EC84" s="110" t="str">
        <f t="shared" si="357"/>
        <v>-</v>
      </c>
      <c r="ED84" s="110" t="str">
        <f t="shared" si="358"/>
        <v>-</v>
      </c>
      <c r="EE84" s="110" t="str">
        <f t="shared" si="359"/>
        <v>-</v>
      </c>
      <c r="EF84" s="111" t="str">
        <f t="shared" si="360"/>
        <v>-</v>
      </c>
      <c r="EG84" s="109" t="str">
        <f t="shared" si="361"/>
        <v>-</v>
      </c>
      <c r="EH84" s="110" t="str">
        <f t="shared" si="362"/>
        <v>-</v>
      </c>
      <c r="EI84" s="110" t="str">
        <f t="shared" si="363"/>
        <v>-</v>
      </c>
      <c r="EJ84" s="110" t="str">
        <f t="shared" si="364"/>
        <v>-</v>
      </c>
      <c r="EK84" s="110" t="str">
        <f t="shared" si="365"/>
        <v>-</v>
      </c>
      <c r="EL84" s="110" t="str">
        <f t="shared" si="366"/>
        <v>-</v>
      </c>
      <c r="EM84" s="110">
        <f t="shared" si="367"/>
        <v>62.17</v>
      </c>
      <c r="EN84" s="110" t="str">
        <f t="shared" si="368"/>
        <v>-</v>
      </c>
      <c r="EO84" s="111" t="str">
        <f t="shared" si="369"/>
        <v>-</v>
      </c>
      <c r="EQ84" s="261" t="str">
        <f t="shared" si="370"/>
        <v>-</v>
      </c>
      <c r="ER84" s="262" t="str">
        <f t="shared" si="371"/>
        <v>-</v>
      </c>
      <c r="ES84" s="263" t="str">
        <f t="shared" si="372"/>
        <v>-</v>
      </c>
      <c r="ET84" s="264">
        <v>2</v>
      </c>
      <c r="EU84" s="261" t="str">
        <f t="shared" si="373"/>
        <v>-</v>
      </c>
      <c r="EV84" s="262" t="str">
        <f t="shared" si="374"/>
        <v>-</v>
      </c>
      <c r="EW84" s="263" t="str">
        <f t="shared" si="375"/>
        <v>-</v>
      </c>
    </row>
    <row r="85" spans="1:153" ht="15.75" thickBot="1" x14ac:dyDescent="0.3">
      <c r="A85" s="41"/>
      <c r="B85" s="171" t="s">
        <v>519</v>
      </c>
      <c r="C85" s="171" t="s">
        <v>528</v>
      </c>
      <c r="D85" s="42">
        <f>VLOOKUP(B85,'BASE DE DATOS'!$B$3:$E$106,2,FALSE)</f>
        <v>32.83</v>
      </c>
      <c r="E85" s="42">
        <f>VLOOKUP(B85,'BASE DE DATOS'!$B$3:$E$106,4,FALSE)</f>
        <v>1.3399999999999999</v>
      </c>
      <c r="F85" s="42">
        <f>VLOOKUP(C85,'BASE DE DATOS'!$B$3:$E$106,2,FALSE)</f>
        <v>32.369999999999997</v>
      </c>
      <c r="G85" s="42">
        <f>VLOOKUP(C85,'BASE DE DATOS'!$B$3:$E$106,4,FALSE)</f>
        <v>1.3399999999999963</v>
      </c>
      <c r="H85" s="43">
        <f t="shared" si="387"/>
        <v>1.3399999999999981</v>
      </c>
      <c r="I85" s="171">
        <v>44.3</v>
      </c>
      <c r="J85" s="44">
        <f t="shared" si="384"/>
        <v>44.3</v>
      </c>
      <c r="K85" s="40">
        <f t="shared" si="385"/>
        <v>42.7</v>
      </c>
      <c r="L85" s="40">
        <f t="shared" si="386"/>
        <v>43.1</v>
      </c>
      <c r="M85" s="44">
        <f t="shared" si="376"/>
        <v>200</v>
      </c>
      <c r="N85" s="40">
        <f t="shared" si="377"/>
        <v>44.3</v>
      </c>
      <c r="O85" s="171" t="s">
        <v>120</v>
      </c>
      <c r="P85" s="19">
        <v>187.6</v>
      </c>
      <c r="Q85" s="171" t="s">
        <v>122</v>
      </c>
      <c r="R85" s="171" t="s">
        <v>133</v>
      </c>
      <c r="S85" s="171" t="s">
        <v>389</v>
      </c>
      <c r="T85" s="171" t="s">
        <v>149</v>
      </c>
      <c r="V85" s="51" t="str">
        <f t="shared" si="388"/>
        <v>-</v>
      </c>
      <c r="W85" s="52" t="str">
        <f t="shared" si="389"/>
        <v>-</v>
      </c>
      <c r="X85" s="52" t="str">
        <f t="shared" si="390"/>
        <v>-</v>
      </c>
      <c r="Y85" s="52" t="str">
        <f t="shared" si="391"/>
        <v>-</v>
      </c>
      <c r="Z85" s="52" t="str">
        <f t="shared" si="392"/>
        <v>-</v>
      </c>
      <c r="AA85" s="52" t="str">
        <f t="shared" si="393"/>
        <v>-</v>
      </c>
      <c r="AB85" s="52" t="str">
        <f t="shared" si="394"/>
        <v>-</v>
      </c>
      <c r="AC85" s="52" t="str">
        <f t="shared" si="395"/>
        <v>-</v>
      </c>
      <c r="AD85" s="52" t="str">
        <f t="shared" si="396"/>
        <v>-</v>
      </c>
      <c r="AE85" s="52" t="str">
        <f t="shared" si="397"/>
        <v>-</v>
      </c>
      <c r="AF85" s="52" t="str">
        <f t="shared" si="398"/>
        <v>-</v>
      </c>
      <c r="AG85" s="52" t="str">
        <f t="shared" si="399"/>
        <v>-</v>
      </c>
      <c r="AH85" s="52" t="str">
        <f t="shared" si="400"/>
        <v>-</v>
      </c>
      <c r="AI85" s="52" t="str">
        <f t="shared" si="401"/>
        <v>-</v>
      </c>
      <c r="AJ85" s="52" t="str">
        <f t="shared" si="402"/>
        <v>-</v>
      </c>
      <c r="AK85" s="52" t="str">
        <f t="shared" si="403"/>
        <v>-</v>
      </c>
      <c r="AL85" s="52" t="str">
        <f t="shared" si="404"/>
        <v>-</v>
      </c>
      <c r="AM85" s="53" t="str">
        <f t="shared" si="405"/>
        <v>-</v>
      </c>
      <c r="AN85" s="51" t="str">
        <f t="shared" si="406"/>
        <v>-</v>
      </c>
      <c r="AO85" s="52" t="str">
        <f t="shared" si="407"/>
        <v>-</v>
      </c>
      <c r="AP85" s="52" t="str">
        <f t="shared" si="408"/>
        <v>-</v>
      </c>
      <c r="AQ85" s="52" t="str">
        <f t="shared" si="409"/>
        <v>-</v>
      </c>
      <c r="AR85" s="52" t="str">
        <f t="shared" si="410"/>
        <v>-</v>
      </c>
      <c r="AS85" s="52" t="str">
        <f t="shared" si="411"/>
        <v>-</v>
      </c>
      <c r="AT85" s="52" t="str">
        <f t="shared" si="412"/>
        <v>-</v>
      </c>
      <c r="AU85" s="52" t="str">
        <f t="shared" si="413"/>
        <v>-</v>
      </c>
      <c r="AV85" s="52" t="str">
        <f t="shared" si="414"/>
        <v>-</v>
      </c>
      <c r="AW85" s="52" t="str">
        <f t="shared" si="415"/>
        <v>-</v>
      </c>
      <c r="AX85" s="52" t="str">
        <f t="shared" si="416"/>
        <v>-</v>
      </c>
      <c r="AY85" s="52" t="str">
        <f t="shared" si="417"/>
        <v>-</v>
      </c>
      <c r="AZ85" s="52" t="str">
        <f t="shared" si="418"/>
        <v>-</v>
      </c>
      <c r="BA85" s="52" t="str">
        <f t="shared" si="419"/>
        <v>-</v>
      </c>
      <c r="BB85" s="52" t="str">
        <f t="shared" si="420"/>
        <v>-</v>
      </c>
      <c r="BC85" s="52" t="str">
        <f t="shared" si="421"/>
        <v>-</v>
      </c>
      <c r="BD85" s="52" t="str">
        <f t="shared" si="422"/>
        <v>-</v>
      </c>
      <c r="BE85" s="53" t="str">
        <f t="shared" si="423"/>
        <v>-</v>
      </c>
      <c r="BF85" s="51" t="str">
        <f t="shared" si="424"/>
        <v>-</v>
      </c>
      <c r="BG85" s="52" t="str">
        <f t="shared" si="425"/>
        <v>-</v>
      </c>
      <c r="BH85" s="52">
        <f t="shared" si="426"/>
        <v>42.7</v>
      </c>
      <c r="BI85" s="52" t="str">
        <f t="shared" si="427"/>
        <v>-</v>
      </c>
      <c r="BJ85" s="52" t="str">
        <f t="shared" si="428"/>
        <v>-</v>
      </c>
      <c r="BK85" s="52" t="str">
        <f t="shared" si="429"/>
        <v>-</v>
      </c>
      <c r="BL85" s="52" t="str">
        <f t="shared" si="430"/>
        <v>-</v>
      </c>
      <c r="BM85" s="52" t="str">
        <f t="shared" si="431"/>
        <v>-</v>
      </c>
      <c r="BN85" s="52" t="str">
        <f t="shared" si="432"/>
        <v>-</v>
      </c>
      <c r="BO85" s="52" t="str">
        <f t="shared" si="433"/>
        <v>-</v>
      </c>
      <c r="BP85" s="52" t="str">
        <f t="shared" si="434"/>
        <v>-</v>
      </c>
      <c r="BQ85" s="52" t="str">
        <f t="shared" si="435"/>
        <v>-</v>
      </c>
      <c r="BR85" s="52" t="str">
        <f t="shared" si="436"/>
        <v>-</v>
      </c>
      <c r="BS85" s="52" t="str">
        <f t="shared" si="437"/>
        <v>-</v>
      </c>
      <c r="BT85" s="52" t="str">
        <f t="shared" si="438"/>
        <v>-</v>
      </c>
      <c r="BU85" s="52" t="str">
        <f t="shared" si="439"/>
        <v>-</v>
      </c>
      <c r="BV85" s="52" t="str">
        <f t="shared" si="440"/>
        <v>-</v>
      </c>
      <c r="BW85" s="53" t="str">
        <f t="shared" si="441"/>
        <v>-</v>
      </c>
      <c r="BX85" s="51" t="str">
        <f t="shared" si="442"/>
        <v>-</v>
      </c>
      <c r="BY85" s="52" t="str">
        <f t="shared" si="443"/>
        <v>-</v>
      </c>
      <c r="BZ85" s="52" t="str">
        <f t="shared" si="444"/>
        <v>-</v>
      </c>
      <c r="CA85" s="52" t="str">
        <f t="shared" si="445"/>
        <v>-</v>
      </c>
      <c r="CB85" s="52" t="str">
        <f t="shared" si="446"/>
        <v>-</v>
      </c>
      <c r="CC85" s="52" t="str">
        <f t="shared" si="447"/>
        <v>-</v>
      </c>
      <c r="CD85" s="52" t="str">
        <f t="shared" si="448"/>
        <v>-</v>
      </c>
      <c r="CE85" s="52" t="str">
        <f t="shared" si="449"/>
        <v>-</v>
      </c>
      <c r="CF85" s="52" t="str">
        <f t="shared" si="450"/>
        <v>-</v>
      </c>
      <c r="CG85" s="52" t="str">
        <f t="shared" si="451"/>
        <v>-</v>
      </c>
      <c r="CH85" s="52" t="str">
        <f t="shared" si="452"/>
        <v>-</v>
      </c>
      <c r="CI85" s="52" t="str">
        <f t="shared" si="453"/>
        <v>-</v>
      </c>
      <c r="CJ85" s="52" t="str">
        <f t="shared" si="454"/>
        <v>-</v>
      </c>
      <c r="CK85" s="52" t="str">
        <f t="shared" si="455"/>
        <v>-</v>
      </c>
      <c r="CL85" s="52" t="str">
        <f t="shared" si="456"/>
        <v>-</v>
      </c>
      <c r="CM85" s="52" t="str">
        <f t="shared" si="457"/>
        <v>-</v>
      </c>
      <c r="CN85" s="52" t="str">
        <f t="shared" si="458"/>
        <v>-</v>
      </c>
      <c r="CO85" s="53" t="str">
        <f t="shared" si="459"/>
        <v>-</v>
      </c>
      <c r="CQ85" s="305" t="str">
        <f t="shared" si="378"/>
        <v>-</v>
      </c>
      <c r="CR85" s="305" t="str">
        <f t="shared" si="379"/>
        <v>-</v>
      </c>
      <c r="CS85" s="305" t="str">
        <f t="shared" si="380"/>
        <v>-</v>
      </c>
      <c r="CT85" s="305" t="str">
        <f t="shared" si="381"/>
        <v>-</v>
      </c>
      <c r="CU85" s="305">
        <f t="shared" si="382"/>
        <v>44.3</v>
      </c>
      <c r="CV85" s="305" t="str">
        <f t="shared" si="383"/>
        <v>-</v>
      </c>
      <c r="CX85" s="51">
        <f t="shared" si="328"/>
        <v>43.1</v>
      </c>
      <c r="CY85" s="52" t="str">
        <f t="shared" si="329"/>
        <v>-</v>
      </c>
      <c r="CZ85" s="53" t="str">
        <f t="shared" si="330"/>
        <v>-</v>
      </c>
      <c r="DA85" s="51" t="str">
        <f t="shared" si="331"/>
        <v>-</v>
      </c>
      <c r="DB85" s="52" t="str">
        <f t="shared" si="332"/>
        <v>-</v>
      </c>
      <c r="DC85" s="53" t="str">
        <f t="shared" si="333"/>
        <v>-</v>
      </c>
      <c r="DD85" s="57"/>
      <c r="DE85" s="106" t="str">
        <f t="shared" si="334"/>
        <v>-</v>
      </c>
      <c r="DF85" s="107" t="str">
        <f t="shared" si="335"/>
        <v>-</v>
      </c>
      <c r="DG85" s="107" t="str">
        <f t="shared" si="336"/>
        <v>-</v>
      </c>
      <c r="DH85" s="107">
        <f t="shared" si="337"/>
        <v>43.1</v>
      </c>
      <c r="DI85" s="107" t="str">
        <f t="shared" si="338"/>
        <v>-</v>
      </c>
      <c r="DJ85" s="107" t="str">
        <f t="shared" si="339"/>
        <v>-</v>
      </c>
      <c r="DK85" s="107" t="str">
        <f t="shared" si="340"/>
        <v>-</v>
      </c>
      <c r="DL85" s="107" t="str">
        <f t="shared" si="341"/>
        <v>-</v>
      </c>
      <c r="DM85" s="108" t="str">
        <f t="shared" si="342"/>
        <v>-</v>
      </c>
      <c r="DO85" s="106" t="str">
        <f t="shared" si="343"/>
        <v>-</v>
      </c>
      <c r="DP85" s="107" t="str">
        <f t="shared" si="344"/>
        <v>-</v>
      </c>
      <c r="DQ85" s="107" t="str">
        <f t="shared" si="345"/>
        <v>-</v>
      </c>
      <c r="DR85" s="107">
        <f t="shared" si="346"/>
        <v>43.1</v>
      </c>
      <c r="DS85" s="107" t="str">
        <f t="shared" si="347"/>
        <v>-</v>
      </c>
      <c r="DT85" s="107" t="str">
        <f t="shared" si="348"/>
        <v>-</v>
      </c>
      <c r="DU85" s="107" t="str">
        <f t="shared" si="349"/>
        <v>-</v>
      </c>
      <c r="DV85" s="107" t="str">
        <f t="shared" si="350"/>
        <v>-</v>
      </c>
      <c r="DW85" s="108" t="str">
        <f t="shared" si="351"/>
        <v>-</v>
      </c>
      <c r="DX85" s="109" t="str">
        <f t="shared" si="352"/>
        <v>-</v>
      </c>
      <c r="DY85" s="110" t="str">
        <f t="shared" si="353"/>
        <v>-</v>
      </c>
      <c r="DZ85" s="110" t="str">
        <f t="shared" si="354"/>
        <v>-</v>
      </c>
      <c r="EA85" s="110" t="str">
        <f t="shared" si="355"/>
        <v>-</v>
      </c>
      <c r="EB85" s="110" t="str">
        <f t="shared" si="356"/>
        <v>-</v>
      </c>
      <c r="EC85" s="110" t="str">
        <f t="shared" si="357"/>
        <v>-</v>
      </c>
      <c r="ED85" s="110" t="str">
        <f t="shared" si="358"/>
        <v>-</v>
      </c>
      <c r="EE85" s="110" t="str">
        <f t="shared" si="359"/>
        <v>-</v>
      </c>
      <c r="EF85" s="111" t="str">
        <f t="shared" si="360"/>
        <v>-</v>
      </c>
      <c r="EG85" s="109" t="str">
        <f t="shared" si="361"/>
        <v>-</v>
      </c>
      <c r="EH85" s="110" t="str">
        <f t="shared" si="362"/>
        <v>-</v>
      </c>
      <c r="EI85" s="110" t="str">
        <f t="shared" si="363"/>
        <v>-</v>
      </c>
      <c r="EJ85" s="110" t="str">
        <f t="shared" si="364"/>
        <v>-</v>
      </c>
      <c r="EK85" s="110" t="str">
        <f t="shared" si="365"/>
        <v>-</v>
      </c>
      <c r="EL85" s="110" t="str">
        <f t="shared" si="366"/>
        <v>-</v>
      </c>
      <c r="EM85" s="110" t="str">
        <f t="shared" si="367"/>
        <v>-</v>
      </c>
      <c r="EN85" s="110" t="str">
        <f t="shared" si="368"/>
        <v>-</v>
      </c>
      <c r="EO85" s="111" t="str">
        <f t="shared" si="369"/>
        <v>-</v>
      </c>
      <c r="EQ85" s="118">
        <f t="shared" si="370"/>
        <v>43.1</v>
      </c>
      <c r="ER85" s="119" t="str">
        <f t="shared" si="371"/>
        <v>-</v>
      </c>
      <c r="ES85" s="120" t="str">
        <f t="shared" si="372"/>
        <v>-</v>
      </c>
      <c r="ET85" s="90">
        <v>2</v>
      </c>
      <c r="EU85" s="118">
        <f t="shared" si="373"/>
        <v>2</v>
      </c>
      <c r="EV85" s="119" t="str">
        <f t="shared" si="374"/>
        <v>-</v>
      </c>
      <c r="EW85" s="120" t="str">
        <f t="shared" si="375"/>
        <v>-</v>
      </c>
    </row>
    <row r="86" spans="1:153" ht="15.75" thickBot="1" x14ac:dyDescent="0.3">
      <c r="A86" s="41"/>
      <c r="B86" s="171" t="s">
        <v>528</v>
      </c>
      <c r="C86" s="171" t="s">
        <v>532</v>
      </c>
      <c r="D86" s="42">
        <f>VLOOKUP(B86,'BASE DE DATOS'!$B$3:$E$106,2,FALSE)</f>
        <v>32.369999999999997</v>
      </c>
      <c r="E86" s="42">
        <f>VLOOKUP(B86,'BASE DE DATOS'!$B$3:$E$106,4,FALSE)</f>
        <v>1.3399999999999963</v>
      </c>
      <c r="F86" s="42">
        <f>VLOOKUP(C86,'BASE DE DATOS'!$B$3:$E$106,2,FALSE)</f>
        <v>32.1</v>
      </c>
      <c r="G86" s="42">
        <f>VLOOKUP(C86,'BASE DE DATOS'!$B$3:$E$106,4,FALSE)</f>
        <v>2.6900000000000013</v>
      </c>
      <c r="H86" s="43">
        <f t="shared" si="387"/>
        <v>2.0149999999999988</v>
      </c>
      <c r="I86" s="171">
        <v>26.4</v>
      </c>
      <c r="J86" s="40">
        <f t="shared" si="384"/>
        <v>26.43</v>
      </c>
      <c r="K86" s="40">
        <f t="shared" si="385"/>
        <v>24.85</v>
      </c>
      <c r="L86" s="40">
        <f t="shared" si="386"/>
        <v>25.25</v>
      </c>
      <c r="M86" s="44">
        <f t="shared" si="376"/>
        <v>200</v>
      </c>
      <c r="N86" s="40">
        <f t="shared" si="377"/>
        <v>26.4</v>
      </c>
      <c r="O86" s="171" t="s">
        <v>120</v>
      </c>
      <c r="P86" s="19">
        <v>187.6</v>
      </c>
      <c r="Q86" s="171" t="s">
        <v>122</v>
      </c>
      <c r="R86" s="171" t="s">
        <v>133</v>
      </c>
      <c r="S86" s="171" t="s">
        <v>147</v>
      </c>
      <c r="T86" s="171" t="s">
        <v>149</v>
      </c>
      <c r="V86" s="51" t="str">
        <f t="shared" si="388"/>
        <v>-</v>
      </c>
      <c r="W86" s="52" t="str">
        <f t="shared" si="389"/>
        <v>-</v>
      </c>
      <c r="X86" s="52" t="str">
        <f t="shared" si="390"/>
        <v>-</v>
      </c>
      <c r="Y86" s="52" t="str">
        <f t="shared" si="391"/>
        <v>-</v>
      </c>
      <c r="Z86" s="52" t="str">
        <f t="shared" si="392"/>
        <v>-</v>
      </c>
      <c r="AA86" s="52" t="str">
        <f t="shared" si="393"/>
        <v>-</v>
      </c>
      <c r="AB86" s="52" t="str">
        <f t="shared" si="394"/>
        <v>-</v>
      </c>
      <c r="AC86" s="52" t="str">
        <f t="shared" si="395"/>
        <v>-</v>
      </c>
      <c r="AD86" s="52" t="str">
        <f t="shared" si="396"/>
        <v>-</v>
      </c>
      <c r="AE86" s="52" t="str">
        <f t="shared" si="397"/>
        <v>-</v>
      </c>
      <c r="AF86" s="52" t="str">
        <f t="shared" si="398"/>
        <v>-</v>
      </c>
      <c r="AG86" s="52" t="str">
        <f t="shared" si="399"/>
        <v>-</v>
      </c>
      <c r="AH86" s="52" t="str">
        <f t="shared" si="400"/>
        <v>-</v>
      </c>
      <c r="AI86" s="52" t="str">
        <f t="shared" si="401"/>
        <v>-</v>
      </c>
      <c r="AJ86" s="52" t="str">
        <f t="shared" si="402"/>
        <v>-</v>
      </c>
      <c r="AK86" s="52" t="str">
        <f t="shared" si="403"/>
        <v>-</v>
      </c>
      <c r="AL86" s="52" t="str">
        <f t="shared" si="404"/>
        <v>-</v>
      </c>
      <c r="AM86" s="53" t="str">
        <f t="shared" si="405"/>
        <v>-</v>
      </c>
      <c r="AN86" s="51" t="str">
        <f t="shared" si="406"/>
        <v>-</v>
      </c>
      <c r="AO86" s="52" t="str">
        <f t="shared" si="407"/>
        <v>-</v>
      </c>
      <c r="AP86" s="52" t="str">
        <f t="shared" si="408"/>
        <v>-</v>
      </c>
      <c r="AQ86" s="52" t="str">
        <f t="shared" si="409"/>
        <v>-</v>
      </c>
      <c r="AR86" s="52" t="str">
        <f t="shared" si="410"/>
        <v>-</v>
      </c>
      <c r="AS86" s="52" t="str">
        <f t="shared" si="411"/>
        <v>-</v>
      </c>
      <c r="AT86" s="52" t="str">
        <f t="shared" si="412"/>
        <v>-</v>
      </c>
      <c r="AU86" s="52" t="str">
        <f t="shared" si="413"/>
        <v>-</v>
      </c>
      <c r="AV86" s="52" t="str">
        <f t="shared" si="414"/>
        <v>-</v>
      </c>
      <c r="AW86" s="52" t="str">
        <f t="shared" si="415"/>
        <v>-</v>
      </c>
      <c r="AX86" s="52" t="str">
        <f t="shared" si="416"/>
        <v>-</v>
      </c>
      <c r="AY86" s="52" t="str">
        <f t="shared" si="417"/>
        <v>-</v>
      </c>
      <c r="AZ86" s="52" t="str">
        <f t="shared" si="418"/>
        <v>-</v>
      </c>
      <c r="BA86" s="52" t="str">
        <f t="shared" si="419"/>
        <v>-</v>
      </c>
      <c r="BB86" s="52" t="str">
        <f t="shared" si="420"/>
        <v>-</v>
      </c>
      <c r="BC86" s="52" t="str">
        <f t="shared" si="421"/>
        <v>-</v>
      </c>
      <c r="BD86" s="52" t="str">
        <f t="shared" si="422"/>
        <v>-</v>
      </c>
      <c r="BE86" s="53" t="str">
        <f t="shared" si="423"/>
        <v>-</v>
      </c>
      <c r="BF86" s="51" t="str">
        <f t="shared" si="424"/>
        <v>-</v>
      </c>
      <c r="BG86" s="52" t="str">
        <f t="shared" si="425"/>
        <v>-</v>
      </c>
      <c r="BH86" s="52" t="str">
        <f t="shared" si="426"/>
        <v>-</v>
      </c>
      <c r="BI86" s="52" t="str">
        <f t="shared" si="427"/>
        <v>-</v>
      </c>
      <c r="BJ86" s="52" t="str">
        <f t="shared" si="428"/>
        <v>-</v>
      </c>
      <c r="BK86" s="52" t="str">
        <f t="shared" si="429"/>
        <v>-</v>
      </c>
      <c r="BL86" s="52" t="str">
        <f t="shared" si="430"/>
        <v>-</v>
      </c>
      <c r="BM86" s="52" t="str">
        <f t="shared" si="431"/>
        <v>-</v>
      </c>
      <c r="BN86" s="52">
        <f t="shared" si="432"/>
        <v>24.85</v>
      </c>
      <c r="BO86" s="52" t="str">
        <f t="shared" si="433"/>
        <v>-</v>
      </c>
      <c r="BP86" s="52" t="str">
        <f t="shared" si="434"/>
        <v>-</v>
      </c>
      <c r="BQ86" s="52" t="str">
        <f t="shared" si="435"/>
        <v>-</v>
      </c>
      <c r="BR86" s="52" t="str">
        <f t="shared" si="436"/>
        <v>-</v>
      </c>
      <c r="BS86" s="52" t="str">
        <f t="shared" si="437"/>
        <v>-</v>
      </c>
      <c r="BT86" s="52" t="str">
        <f t="shared" si="438"/>
        <v>-</v>
      </c>
      <c r="BU86" s="52" t="str">
        <f t="shared" si="439"/>
        <v>-</v>
      </c>
      <c r="BV86" s="52" t="str">
        <f t="shared" si="440"/>
        <v>-</v>
      </c>
      <c r="BW86" s="53" t="str">
        <f t="shared" si="441"/>
        <v>-</v>
      </c>
      <c r="BX86" s="51" t="str">
        <f t="shared" si="442"/>
        <v>-</v>
      </c>
      <c r="BY86" s="52" t="str">
        <f t="shared" si="443"/>
        <v>-</v>
      </c>
      <c r="BZ86" s="52" t="str">
        <f t="shared" si="444"/>
        <v>-</v>
      </c>
      <c r="CA86" s="52" t="str">
        <f t="shared" si="445"/>
        <v>-</v>
      </c>
      <c r="CB86" s="52" t="str">
        <f t="shared" si="446"/>
        <v>-</v>
      </c>
      <c r="CC86" s="52" t="str">
        <f t="shared" si="447"/>
        <v>-</v>
      </c>
      <c r="CD86" s="52" t="str">
        <f t="shared" si="448"/>
        <v>-</v>
      </c>
      <c r="CE86" s="52" t="str">
        <f t="shared" si="449"/>
        <v>-</v>
      </c>
      <c r="CF86" s="52" t="str">
        <f t="shared" si="450"/>
        <v>-</v>
      </c>
      <c r="CG86" s="52" t="str">
        <f t="shared" si="451"/>
        <v>-</v>
      </c>
      <c r="CH86" s="52" t="str">
        <f t="shared" si="452"/>
        <v>-</v>
      </c>
      <c r="CI86" s="52" t="str">
        <f t="shared" si="453"/>
        <v>-</v>
      </c>
      <c r="CJ86" s="52" t="str">
        <f t="shared" si="454"/>
        <v>-</v>
      </c>
      <c r="CK86" s="52" t="str">
        <f t="shared" si="455"/>
        <v>-</v>
      </c>
      <c r="CL86" s="52" t="str">
        <f t="shared" si="456"/>
        <v>-</v>
      </c>
      <c r="CM86" s="52" t="str">
        <f t="shared" si="457"/>
        <v>-</v>
      </c>
      <c r="CN86" s="52" t="str">
        <f t="shared" si="458"/>
        <v>-</v>
      </c>
      <c r="CO86" s="53" t="str">
        <f t="shared" si="459"/>
        <v>-</v>
      </c>
      <c r="CQ86" s="305" t="str">
        <f t="shared" si="378"/>
        <v>-</v>
      </c>
      <c r="CR86" s="305">
        <f t="shared" si="379"/>
        <v>26.4</v>
      </c>
      <c r="CS86" s="305" t="str">
        <f t="shared" si="380"/>
        <v>-</v>
      </c>
      <c r="CT86" s="305" t="str">
        <f t="shared" si="381"/>
        <v>-</v>
      </c>
      <c r="CU86" s="305" t="str">
        <f t="shared" si="382"/>
        <v>-</v>
      </c>
      <c r="CV86" s="305" t="str">
        <f t="shared" si="383"/>
        <v>-</v>
      </c>
      <c r="CX86" s="51">
        <f t="shared" si="328"/>
        <v>25.25</v>
      </c>
      <c r="CY86" s="52" t="str">
        <f t="shared" si="329"/>
        <v>-</v>
      </c>
      <c r="CZ86" s="53" t="str">
        <f t="shared" si="330"/>
        <v>-</v>
      </c>
      <c r="DA86" s="51" t="str">
        <f t="shared" si="331"/>
        <v>-</v>
      </c>
      <c r="DB86" s="52" t="str">
        <f t="shared" si="332"/>
        <v>-</v>
      </c>
      <c r="DC86" s="53" t="str">
        <f t="shared" si="333"/>
        <v>-</v>
      </c>
      <c r="DD86" s="57"/>
      <c r="DE86" s="106" t="str">
        <f t="shared" si="334"/>
        <v>-</v>
      </c>
      <c r="DF86" s="107" t="str">
        <f t="shared" si="335"/>
        <v>-</v>
      </c>
      <c r="DG86" s="107" t="str">
        <f t="shared" si="336"/>
        <v>-</v>
      </c>
      <c r="DH86" s="107">
        <f t="shared" si="337"/>
        <v>25.25</v>
      </c>
      <c r="DI86" s="107" t="str">
        <f t="shared" si="338"/>
        <v>-</v>
      </c>
      <c r="DJ86" s="107" t="str">
        <f t="shared" si="339"/>
        <v>-</v>
      </c>
      <c r="DK86" s="107" t="str">
        <f t="shared" si="340"/>
        <v>-</v>
      </c>
      <c r="DL86" s="107" t="str">
        <f t="shared" si="341"/>
        <v>-</v>
      </c>
      <c r="DM86" s="108" t="str">
        <f t="shared" si="342"/>
        <v>-</v>
      </c>
      <c r="DO86" s="106" t="str">
        <f t="shared" si="343"/>
        <v>-</v>
      </c>
      <c r="DP86" s="107" t="str">
        <f t="shared" si="344"/>
        <v>-</v>
      </c>
      <c r="DQ86" s="107" t="str">
        <f t="shared" si="345"/>
        <v>-</v>
      </c>
      <c r="DR86" s="107">
        <f t="shared" si="346"/>
        <v>25.25</v>
      </c>
      <c r="DS86" s="107" t="str">
        <f t="shared" si="347"/>
        <v>-</v>
      </c>
      <c r="DT86" s="107" t="str">
        <f t="shared" si="348"/>
        <v>-</v>
      </c>
      <c r="DU86" s="107" t="str">
        <f t="shared" si="349"/>
        <v>-</v>
      </c>
      <c r="DV86" s="107" t="str">
        <f t="shared" si="350"/>
        <v>-</v>
      </c>
      <c r="DW86" s="108" t="str">
        <f t="shared" si="351"/>
        <v>-</v>
      </c>
      <c r="DX86" s="109" t="str">
        <f t="shared" si="352"/>
        <v>-</v>
      </c>
      <c r="DY86" s="110" t="str">
        <f t="shared" si="353"/>
        <v>-</v>
      </c>
      <c r="DZ86" s="110" t="str">
        <f t="shared" si="354"/>
        <v>-</v>
      </c>
      <c r="EA86" s="110" t="str">
        <f t="shared" si="355"/>
        <v>-</v>
      </c>
      <c r="EB86" s="110" t="str">
        <f t="shared" si="356"/>
        <v>-</v>
      </c>
      <c r="EC86" s="110" t="str">
        <f t="shared" si="357"/>
        <v>-</v>
      </c>
      <c r="ED86" s="110" t="str">
        <f t="shared" si="358"/>
        <v>-</v>
      </c>
      <c r="EE86" s="110" t="str">
        <f t="shared" si="359"/>
        <v>-</v>
      </c>
      <c r="EF86" s="111" t="str">
        <f t="shared" si="360"/>
        <v>-</v>
      </c>
      <c r="EG86" s="109" t="str">
        <f t="shared" si="361"/>
        <v>-</v>
      </c>
      <c r="EH86" s="110" t="str">
        <f t="shared" si="362"/>
        <v>-</v>
      </c>
      <c r="EI86" s="110" t="str">
        <f t="shared" si="363"/>
        <v>-</v>
      </c>
      <c r="EJ86" s="110" t="str">
        <f t="shared" si="364"/>
        <v>-</v>
      </c>
      <c r="EK86" s="110" t="str">
        <f t="shared" si="365"/>
        <v>-</v>
      </c>
      <c r="EL86" s="110" t="str">
        <f t="shared" si="366"/>
        <v>-</v>
      </c>
      <c r="EM86" s="110" t="str">
        <f t="shared" si="367"/>
        <v>-</v>
      </c>
      <c r="EN86" s="110" t="str">
        <f t="shared" si="368"/>
        <v>-</v>
      </c>
      <c r="EO86" s="111" t="str">
        <f t="shared" si="369"/>
        <v>-</v>
      </c>
      <c r="EQ86" s="118">
        <f t="shared" si="370"/>
        <v>25.25</v>
      </c>
      <c r="ER86" s="119" t="str">
        <f t="shared" si="371"/>
        <v>-</v>
      </c>
      <c r="ES86" s="120" t="str">
        <f t="shared" si="372"/>
        <v>-</v>
      </c>
      <c r="ET86" s="90">
        <v>2</v>
      </c>
      <c r="EU86" s="118">
        <f t="shared" si="373"/>
        <v>2</v>
      </c>
      <c r="EV86" s="119" t="str">
        <f t="shared" si="374"/>
        <v>-</v>
      </c>
      <c r="EW86" s="120" t="str">
        <f t="shared" si="375"/>
        <v>-</v>
      </c>
    </row>
    <row r="87" spans="1:153" ht="15.75" thickBot="1" x14ac:dyDescent="0.3">
      <c r="A87" s="41"/>
      <c r="B87" s="171" t="s">
        <v>520</v>
      </c>
      <c r="C87" s="171" t="s">
        <v>529</v>
      </c>
      <c r="D87" s="42">
        <f>VLOOKUP(B87,'BASE DE DATOS'!$B$3:$E$106,2,FALSE)</f>
        <v>34.770000000000003</v>
      </c>
      <c r="E87" s="42">
        <f>VLOOKUP(B87,'BASE DE DATOS'!$B$3:$E$106,4,FALSE)</f>
        <v>1.2000000000000028</v>
      </c>
      <c r="F87" s="42">
        <f>VLOOKUP(C87,'BASE DE DATOS'!$B$3:$E$106,2,FALSE)</f>
        <v>34.6</v>
      </c>
      <c r="G87" s="42">
        <f>VLOOKUP(C87,'BASE DE DATOS'!$B$3:$E$106,4,FALSE)</f>
        <v>1.4600000000000009</v>
      </c>
      <c r="H87" s="43">
        <f t="shared" si="387"/>
        <v>1.3300000000000018</v>
      </c>
      <c r="I87" s="171">
        <v>36.450000000000003</v>
      </c>
      <c r="J87" s="44">
        <f t="shared" si="384"/>
        <v>36.450000000000003</v>
      </c>
      <c r="K87" s="40">
        <f t="shared" si="385"/>
        <v>34.85</v>
      </c>
      <c r="L87" s="40">
        <f t="shared" si="386"/>
        <v>35.25</v>
      </c>
      <c r="M87" s="44">
        <f t="shared" si="376"/>
        <v>200</v>
      </c>
      <c r="N87" s="40">
        <f t="shared" si="377"/>
        <v>36.450000000000003</v>
      </c>
      <c r="O87" s="171" t="s">
        <v>120</v>
      </c>
      <c r="P87" s="19">
        <v>187.6</v>
      </c>
      <c r="Q87" s="171" t="s">
        <v>123</v>
      </c>
      <c r="R87" s="171" t="s">
        <v>133</v>
      </c>
      <c r="S87" s="171" t="s">
        <v>147</v>
      </c>
      <c r="T87" s="171" t="s">
        <v>146</v>
      </c>
      <c r="V87" s="51" t="str">
        <f t="shared" si="388"/>
        <v>-</v>
      </c>
      <c r="W87" s="52" t="str">
        <f t="shared" si="389"/>
        <v>-</v>
      </c>
      <c r="X87" s="52" t="str">
        <f t="shared" si="390"/>
        <v>-</v>
      </c>
      <c r="Y87" s="52">
        <f t="shared" si="391"/>
        <v>34.85</v>
      </c>
      <c r="Z87" s="52" t="str">
        <f t="shared" si="392"/>
        <v>-</v>
      </c>
      <c r="AA87" s="52" t="str">
        <f t="shared" si="393"/>
        <v>-</v>
      </c>
      <c r="AB87" s="52" t="str">
        <f t="shared" si="394"/>
        <v>-</v>
      </c>
      <c r="AC87" s="52" t="str">
        <f t="shared" si="395"/>
        <v>-</v>
      </c>
      <c r="AD87" s="52" t="str">
        <f t="shared" si="396"/>
        <v>-</v>
      </c>
      <c r="AE87" s="52" t="str">
        <f t="shared" si="397"/>
        <v>-</v>
      </c>
      <c r="AF87" s="52" t="str">
        <f t="shared" si="398"/>
        <v>-</v>
      </c>
      <c r="AG87" s="52" t="str">
        <f t="shared" si="399"/>
        <v>-</v>
      </c>
      <c r="AH87" s="52" t="str">
        <f t="shared" si="400"/>
        <v>-</v>
      </c>
      <c r="AI87" s="52" t="str">
        <f t="shared" si="401"/>
        <v>-</v>
      </c>
      <c r="AJ87" s="52" t="str">
        <f t="shared" si="402"/>
        <v>-</v>
      </c>
      <c r="AK87" s="52" t="str">
        <f t="shared" si="403"/>
        <v>-</v>
      </c>
      <c r="AL87" s="52" t="str">
        <f t="shared" si="404"/>
        <v>-</v>
      </c>
      <c r="AM87" s="53" t="str">
        <f t="shared" si="405"/>
        <v>-</v>
      </c>
      <c r="AN87" s="51" t="str">
        <f t="shared" si="406"/>
        <v>-</v>
      </c>
      <c r="AO87" s="52" t="str">
        <f t="shared" si="407"/>
        <v>-</v>
      </c>
      <c r="AP87" s="52" t="str">
        <f t="shared" si="408"/>
        <v>-</v>
      </c>
      <c r="AQ87" s="52" t="str">
        <f t="shared" si="409"/>
        <v>-</v>
      </c>
      <c r="AR87" s="52" t="str">
        <f t="shared" si="410"/>
        <v>-</v>
      </c>
      <c r="AS87" s="52" t="str">
        <f t="shared" si="411"/>
        <v>-</v>
      </c>
      <c r="AT87" s="52" t="str">
        <f t="shared" si="412"/>
        <v>-</v>
      </c>
      <c r="AU87" s="52" t="str">
        <f t="shared" si="413"/>
        <v>-</v>
      </c>
      <c r="AV87" s="52" t="str">
        <f t="shared" si="414"/>
        <v>-</v>
      </c>
      <c r="AW87" s="52" t="str">
        <f t="shared" si="415"/>
        <v>-</v>
      </c>
      <c r="AX87" s="52" t="str">
        <f t="shared" si="416"/>
        <v>-</v>
      </c>
      <c r="AY87" s="52" t="str">
        <f t="shared" si="417"/>
        <v>-</v>
      </c>
      <c r="AZ87" s="52" t="str">
        <f t="shared" si="418"/>
        <v>-</v>
      </c>
      <c r="BA87" s="52" t="str">
        <f t="shared" si="419"/>
        <v>-</v>
      </c>
      <c r="BB87" s="52" t="str">
        <f t="shared" si="420"/>
        <v>-</v>
      </c>
      <c r="BC87" s="52" t="str">
        <f t="shared" si="421"/>
        <v>-</v>
      </c>
      <c r="BD87" s="52" t="str">
        <f t="shared" si="422"/>
        <v>-</v>
      </c>
      <c r="BE87" s="53" t="str">
        <f t="shared" si="423"/>
        <v>-</v>
      </c>
      <c r="BF87" s="51" t="str">
        <f t="shared" si="424"/>
        <v>-</v>
      </c>
      <c r="BG87" s="52" t="str">
        <f t="shared" si="425"/>
        <v>-</v>
      </c>
      <c r="BH87" s="52" t="str">
        <f t="shared" si="426"/>
        <v>-</v>
      </c>
      <c r="BI87" s="52" t="str">
        <f t="shared" si="427"/>
        <v>-</v>
      </c>
      <c r="BJ87" s="52" t="str">
        <f t="shared" si="428"/>
        <v>-</v>
      </c>
      <c r="BK87" s="52" t="str">
        <f t="shared" si="429"/>
        <v>-</v>
      </c>
      <c r="BL87" s="52" t="str">
        <f t="shared" si="430"/>
        <v>-</v>
      </c>
      <c r="BM87" s="52" t="str">
        <f t="shared" si="431"/>
        <v>-</v>
      </c>
      <c r="BN87" s="52" t="str">
        <f t="shared" si="432"/>
        <v>-</v>
      </c>
      <c r="BO87" s="52" t="str">
        <f t="shared" si="433"/>
        <v>-</v>
      </c>
      <c r="BP87" s="52" t="str">
        <f t="shared" si="434"/>
        <v>-</v>
      </c>
      <c r="BQ87" s="52" t="str">
        <f t="shared" si="435"/>
        <v>-</v>
      </c>
      <c r="BR87" s="52" t="str">
        <f t="shared" si="436"/>
        <v>-</v>
      </c>
      <c r="BS87" s="52" t="str">
        <f t="shared" si="437"/>
        <v>-</v>
      </c>
      <c r="BT87" s="52" t="str">
        <f t="shared" si="438"/>
        <v>-</v>
      </c>
      <c r="BU87" s="52" t="str">
        <f t="shared" si="439"/>
        <v>-</v>
      </c>
      <c r="BV87" s="52" t="str">
        <f t="shared" si="440"/>
        <v>-</v>
      </c>
      <c r="BW87" s="53" t="str">
        <f t="shared" si="441"/>
        <v>-</v>
      </c>
      <c r="BX87" s="51" t="str">
        <f t="shared" si="442"/>
        <v>-</v>
      </c>
      <c r="BY87" s="52" t="str">
        <f t="shared" si="443"/>
        <v>-</v>
      </c>
      <c r="BZ87" s="52" t="str">
        <f t="shared" si="444"/>
        <v>-</v>
      </c>
      <c r="CA87" s="52" t="str">
        <f t="shared" si="445"/>
        <v>-</v>
      </c>
      <c r="CB87" s="52" t="str">
        <f t="shared" si="446"/>
        <v>-</v>
      </c>
      <c r="CC87" s="52" t="str">
        <f t="shared" si="447"/>
        <v>-</v>
      </c>
      <c r="CD87" s="52" t="str">
        <f t="shared" si="448"/>
        <v>-</v>
      </c>
      <c r="CE87" s="52" t="str">
        <f t="shared" si="449"/>
        <v>-</v>
      </c>
      <c r="CF87" s="52" t="str">
        <f t="shared" si="450"/>
        <v>-</v>
      </c>
      <c r="CG87" s="52" t="str">
        <f t="shared" si="451"/>
        <v>-</v>
      </c>
      <c r="CH87" s="52" t="str">
        <f t="shared" si="452"/>
        <v>-</v>
      </c>
      <c r="CI87" s="52" t="str">
        <f t="shared" si="453"/>
        <v>-</v>
      </c>
      <c r="CJ87" s="52" t="str">
        <f t="shared" si="454"/>
        <v>-</v>
      </c>
      <c r="CK87" s="52" t="str">
        <f t="shared" si="455"/>
        <v>-</v>
      </c>
      <c r="CL87" s="52" t="str">
        <f t="shared" si="456"/>
        <v>-</v>
      </c>
      <c r="CM87" s="52" t="str">
        <f t="shared" si="457"/>
        <v>-</v>
      </c>
      <c r="CN87" s="52" t="str">
        <f t="shared" si="458"/>
        <v>-</v>
      </c>
      <c r="CO87" s="53" t="str">
        <f t="shared" si="459"/>
        <v>-</v>
      </c>
      <c r="CQ87" s="305" t="str">
        <f t="shared" si="378"/>
        <v>-</v>
      </c>
      <c r="CR87" s="305">
        <f t="shared" si="379"/>
        <v>36.450000000000003</v>
      </c>
      <c r="CS87" s="305" t="str">
        <f t="shared" si="380"/>
        <v>-</v>
      </c>
      <c r="CT87" s="305" t="str">
        <f t="shared" si="381"/>
        <v>-</v>
      </c>
      <c r="CU87" s="305" t="str">
        <f t="shared" si="382"/>
        <v>-</v>
      </c>
      <c r="CV87" s="305" t="str">
        <f t="shared" si="383"/>
        <v>-</v>
      </c>
      <c r="CX87" s="51" t="str">
        <f t="shared" si="328"/>
        <v>-</v>
      </c>
      <c r="CY87" s="52">
        <f t="shared" si="329"/>
        <v>35.25</v>
      </c>
      <c r="CZ87" s="53" t="str">
        <f t="shared" si="330"/>
        <v>-</v>
      </c>
      <c r="DA87" s="51" t="str">
        <f t="shared" si="331"/>
        <v>-</v>
      </c>
      <c r="DB87" s="52" t="str">
        <f t="shared" si="332"/>
        <v>-</v>
      </c>
      <c r="DC87" s="53" t="str">
        <f t="shared" si="333"/>
        <v>-</v>
      </c>
      <c r="DD87" s="57"/>
      <c r="DE87" s="106" t="str">
        <f t="shared" si="334"/>
        <v>-</v>
      </c>
      <c r="DF87" s="107" t="str">
        <f t="shared" si="335"/>
        <v>-</v>
      </c>
      <c r="DG87" s="107" t="str">
        <f t="shared" si="336"/>
        <v>-</v>
      </c>
      <c r="DH87" s="107" t="str">
        <f t="shared" si="337"/>
        <v>-</v>
      </c>
      <c r="DI87" s="107" t="str">
        <f t="shared" si="338"/>
        <v>-</v>
      </c>
      <c r="DJ87" s="107" t="str">
        <f t="shared" si="339"/>
        <v>-</v>
      </c>
      <c r="DK87" s="107" t="str">
        <f t="shared" si="340"/>
        <v>-</v>
      </c>
      <c r="DL87" s="107" t="str">
        <f t="shared" si="341"/>
        <v>-</v>
      </c>
      <c r="DM87" s="108" t="str">
        <f t="shared" si="342"/>
        <v>-</v>
      </c>
      <c r="DO87" s="106" t="str">
        <f t="shared" si="343"/>
        <v>-</v>
      </c>
      <c r="DP87" s="107" t="str">
        <f t="shared" si="344"/>
        <v>-</v>
      </c>
      <c r="DQ87" s="107" t="str">
        <f t="shared" si="345"/>
        <v>-</v>
      </c>
      <c r="DR87" s="107" t="str">
        <f t="shared" si="346"/>
        <v>-</v>
      </c>
      <c r="DS87" s="107" t="str">
        <f t="shared" si="347"/>
        <v>-</v>
      </c>
      <c r="DT87" s="107" t="str">
        <f t="shared" si="348"/>
        <v>-</v>
      </c>
      <c r="DU87" s="107" t="str">
        <f t="shared" si="349"/>
        <v>-</v>
      </c>
      <c r="DV87" s="107" t="str">
        <f t="shared" si="350"/>
        <v>-</v>
      </c>
      <c r="DW87" s="108" t="str">
        <f t="shared" si="351"/>
        <v>-</v>
      </c>
      <c r="DX87" s="109" t="str">
        <f t="shared" si="352"/>
        <v>-</v>
      </c>
      <c r="DY87" s="110" t="str">
        <f t="shared" si="353"/>
        <v>-</v>
      </c>
      <c r="DZ87" s="110" t="str">
        <f t="shared" si="354"/>
        <v>-</v>
      </c>
      <c r="EA87" s="110">
        <f t="shared" si="355"/>
        <v>36.450000000000003</v>
      </c>
      <c r="EB87" s="110" t="str">
        <f t="shared" si="356"/>
        <v>-</v>
      </c>
      <c r="EC87" s="110" t="str">
        <f t="shared" si="357"/>
        <v>-</v>
      </c>
      <c r="ED87" s="110" t="str">
        <f t="shared" si="358"/>
        <v>-</v>
      </c>
      <c r="EE87" s="110" t="str">
        <f t="shared" si="359"/>
        <v>-</v>
      </c>
      <c r="EF87" s="111" t="str">
        <f t="shared" si="360"/>
        <v>-</v>
      </c>
      <c r="EG87" s="109" t="str">
        <f t="shared" si="361"/>
        <v>-</v>
      </c>
      <c r="EH87" s="110" t="str">
        <f t="shared" si="362"/>
        <v>-</v>
      </c>
      <c r="EI87" s="110" t="str">
        <f t="shared" si="363"/>
        <v>-</v>
      </c>
      <c r="EJ87" s="110" t="str">
        <f t="shared" si="364"/>
        <v>-</v>
      </c>
      <c r="EK87" s="110" t="str">
        <f t="shared" si="365"/>
        <v>-</v>
      </c>
      <c r="EL87" s="110" t="str">
        <f t="shared" si="366"/>
        <v>-</v>
      </c>
      <c r="EM87" s="110" t="str">
        <f t="shared" si="367"/>
        <v>-</v>
      </c>
      <c r="EN87" s="110" t="str">
        <f t="shared" si="368"/>
        <v>-</v>
      </c>
      <c r="EO87" s="111" t="str">
        <f t="shared" si="369"/>
        <v>-</v>
      </c>
      <c r="EQ87" s="118">
        <f t="shared" si="370"/>
        <v>35.25</v>
      </c>
      <c r="ER87" s="119" t="str">
        <f t="shared" si="371"/>
        <v>-</v>
      </c>
      <c r="ES87" s="120" t="str">
        <f t="shared" si="372"/>
        <v>-</v>
      </c>
      <c r="ET87" s="90">
        <v>2</v>
      </c>
      <c r="EU87" s="118">
        <f t="shared" si="373"/>
        <v>2</v>
      </c>
      <c r="EV87" s="119" t="str">
        <f t="shared" si="374"/>
        <v>-</v>
      </c>
      <c r="EW87" s="120" t="str">
        <f t="shared" si="375"/>
        <v>-</v>
      </c>
    </row>
    <row r="88" spans="1:153" ht="15.75" thickBot="1" x14ac:dyDescent="0.3">
      <c r="A88" s="41"/>
      <c r="B88" s="171" t="s">
        <v>529</v>
      </c>
      <c r="C88" s="171" t="s">
        <v>522</v>
      </c>
      <c r="D88" s="42">
        <f>VLOOKUP(B88,'BASE DE DATOS'!$B$3:$E$106,2,FALSE)</f>
        <v>34.6</v>
      </c>
      <c r="E88" s="42">
        <f>VLOOKUP(B88,'BASE DE DATOS'!$B$3:$E$106,4,FALSE)</f>
        <v>1.4600000000000009</v>
      </c>
      <c r="F88" s="42">
        <f>VLOOKUP(C88,'BASE DE DATOS'!$B$3:$E$106,2,FALSE)</f>
        <v>34.83</v>
      </c>
      <c r="G88" s="42">
        <f>VLOOKUP(C88,'BASE DE DATOS'!$B$3:$E$106,4,FALSE)</f>
        <v>1.9499999999999957</v>
      </c>
      <c r="H88" s="43">
        <f t="shared" si="387"/>
        <v>1.7049999999999983</v>
      </c>
      <c r="I88" s="171">
        <v>43.65</v>
      </c>
      <c r="J88" s="44">
        <f t="shared" si="384"/>
        <v>43.65</v>
      </c>
      <c r="K88" s="40">
        <f t="shared" si="385"/>
        <v>42.05</v>
      </c>
      <c r="L88" s="40">
        <f t="shared" si="386"/>
        <v>42.45</v>
      </c>
      <c r="M88" s="44">
        <f t="shared" si="376"/>
        <v>200</v>
      </c>
      <c r="N88" s="40">
        <f t="shared" si="377"/>
        <v>43.65</v>
      </c>
      <c r="O88" s="171" t="s">
        <v>120</v>
      </c>
      <c r="P88" s="19">
        <v>187.6</v>
      </c>
      <c r="Q88" s="171" t="s">
        <v>123</v>
      </c>
      <c r="R88" s="171" t="s">
        <v>133</v>
      </c>
      <c r="S88" s="171" t="s">
        <v>147</v>
      </c>
      <c r="T88" s="171" t="s">
        <v>146</v>
      </c>
      <c r="V88" s="51" t="str">
        <f t="shared" si="388"/>
        <v>-</v>
      </c>
      <c r="W88" s="52" t="str">
        <f t="shared" si="389"/>
        <v>-</v>
      </c>
      <c r="X88" s="52" t="str">
        <f t="shared" si="390"/>
        <v>-</v>
      </c>
      <c r="Y88" s="52" t="str">
        <f t="shared" si="391"/>
        <v>-</v>
      </c>
      <c r="Z88" s="52" t="str">
        <f t="shared" si="392"/>
        <v>-</v>
      </c>
      <c r="AA88" s="52">
        <f t="shared" si="393"/>
        <v>42.05</v>
      </c>
      <c r="AB88" s="52" t="str">
        <f t="shared" si="394"/>
        <v>-</v>
      </c>
      <c r="AC88" s="52" t="str">
        <f t="shared" si="395"/>
        <v>-</v>
      </c>
      <c r="AD88" s="52" t="str">
        <f t="shared" si="396"/>
        <v>-</v>
      </c>
      <c r="AE88" s="52" t="str">
        <f t="shared" si="397"/>
        <v>-</v>
      </c>
      <c r="AF88" s="52" t="str">
        <f t="shared" si="398"/>
        <v>-</v>
      </c>
      <c r="AG88" s="52" t="str">
        <f t="shared" si="399"/>
        <v>-</v>
      </c>
      <c r="AH88" s="52" t="str">
        <f t="shared" si="400"/>
        <v>-</v>
      </c>
      <c r="AI88" s="52" t="str">
        <f t="shared" si="401"/>
        <v>-</v>
      </c>
      <c r="AJ88" s="52" t="str">
        <f t="shared" si="402"/>
        <v>-</v>
      </c>
      <c r="AK88" s="52" t="str">
        <f t="shared" si="403"/>
        <v>-</v>
      </c>
      <c r="AL88" s="52" t="str">
        <f t="shared" si="404"/>
        <v>-</v>
      </c>
      <c r="AM88" s="53" t="str">
        <f t="shared" si="405"/>
        <v>-</v>
      </c>
      <c r="AN88" s="51" t="str">
        <f t="shared" si="406"/>
        <v>-</v>
      </c>
      <c r="AO88" s="52" t="str">
        <f t="shared" si="407"/>
        <v>-</v>
      </c>
      <c r="AP88" s="52" t="str">
        <f t="shared" si="408"/>
        <v>-</v>
      </c>
      <c r="AQ88" s="52" t="str">
        <f t="shared" si="409"/>
        <v>-</v>
      </c>
      <c r="AR88" s="52" t="str">
        <f t="shared" si="410"/>
        <v>-</v>
      </c>
      <c r="AS88" s="52" t="str">
        <f t="shared" si="411"/>
        <v>-</v>
      </c>
      <c r="AT88" s="52" t="str">
        <f t="shared" si="412"/>
        <v>-</v>
      </c>
      <c r="AU88" s="52" t="str">
        <f t="shared" si="413"/>
        <v>-</v>
      </c>
      <c r="AV88" s="52" t="str">
        <f t="shared" si="414"/>
        <v>-</v>
      </c>
      <c r="AW88" s="52" t="str">
        <f t="shared" si="415"/>
        <v>-</v>
      </c>
      <c r="AX88" s="52" t="str">
        <f t="shared" si="416"/>
        <v>-</v>
      </c>
      <c r="AY88" s="52" t="str">
        <f t="shared" si="417"/>
        <v>-</v>
      </c>
      <c r="AZ88" s="52" t="str">
        <f t="shared" si="418"/>
        <v>-</v>
      </c>
      <c r="BA88" s="52" t="str">
        <f t="shared" si="419"/>
        <v>-</v>
      </c>
      <c r="BB88" s="52" t="str">
        <f t="shared" si="420"/>
        <v>-</v>
      </c>
      <c r="BC88" s="52" t="str">
        <f t="shared" si="421"/>
        <v>-</v>
      </c>
      <c r="BD88" s="52" t="str">
        <f t="shared" si="422"/>
        <v>-</v>
      </c>
      <c r="BE88" s="53" t="str">
        <f t="shared" si="423"/>
        <v>-</v>
      </c>
      <c r="BF88" s="51" t="str">
        <f t="shared" si="424"/>
        <v>-</v>
      </c>
      <c r="BG88" s="52" t="str">
        <f t="shared" si="425"/>
        <v>-</v>
      </c>
      <c r="BH88" s="52" t="str">
        <f t="shared" si="426"/>
        <v>-</v>
      </c>
      <c r="BI88" s="52" t="str">
        <f t="shared" si="427"/>
        <v>-</v>
      </c>
      <c r="BJ88" s="52" t="str">
        <f t="shared" si="428"/>
        <v>-</v>
      </c>
      <c r="BK88" s="52" t="str">
        <f t="shared" si="429"/>
        <v>-</v>
      </c>
      <c r="BL88" s="52" t="str">
        <f t="shared" si="430"/>
        <v>-</v>
      </c>
      <c r="BM88" s="52" t="str">
        <f t="shared" si="431"/>
        <v>-</v>
      </c>
      <c r="BN88" s="52" t="str">
        <f t="shared" si="432"/>
        <v>-</v>
      </c>
      <c r="BO88" s="52" t="str">
        <f t="shared" si="433"/>
        <v>-</v>
      </c>
      <c r="BP88" s="52" t="str">
        <f t="shared" si="434"/>
        <v>-</v>
      </c>
      <c r="BQ88" s="52" t="str">
        <f t="shared" si="435"/>
        <v>-</v>
      </c>
      <c r="BR88" s="52" t="str">
        <f t="shared" si="436"/>
        <v>-</v>
      </c>
      <c r="BS88" s="52" t="str">
        <f t="shared" si="437"/>
        <v>-</v>
      </c>
      <c r="BT88" s="52" t="str">
        <f t="shared" si="438"/>
        <v>-</v>
      </c>
      <c r="BU88" s="52" t="str">
        <f t="shared" si="439"/>
        <v>-</v>
      </c>
      <c r="BV88" s="52" t="str">
        <f t="shared" si="440"/>
        <v>-</v>
      </c>
      <c r="BW88" s="53" t="str">
        <f t="shared" si="441"/>
        <v>-</v>
      </c>
      <c r="BX88" s="51" t="str">
        <f t="shared" si="442"/>
        <v>-</v>
      </c>
      <c r="BY88" s="52" t="str">
        <f t="shared" si="443"/>
        <v>-</v>
      </c>
      <c r="BZ88" s="52" t="str">
        <f t="shared" si="444"/>
        <v>-</v>
      </c>
      <c r="CA88" s="52" t="str">
        <f t="shared" si="445"/>
        <v>-</v>
      </c>
      <c r="CB88" s="52" t="str">
        <f t="shared" si="446"/>
        <v>-</v>
      </c>
      <c r="CC88" s="52" t="str">
        <f t="shared" si="447"/>
        <v>-</v>
      </c>
      <c r="CD88" s="52" t="str">
        <f t="shared" si="448"/>
        <v>-</v>
      </c>
      <c r="CE88" s="52" t="str">
        <f t="shared" si="449"/>
        <v>-</v>
      </c>
      <c r="CF88" s="52" t="str">
        <f t="shared" si="450"/>
        <v>-</v>
      </c>
      <c r="CG88" s="52" t="str">
        <f t="shared" si="451"/>
        <v>-</v>
      </c>
      <c r="CH88" s="52" t="str">
        <f t="shared" si="452"/>
        <v>-</v>
      </c>
      <c r="CI88" s="52" t="str">
        <f t="shared" si="453"/>
        <v>-</v>
      </c>
      <c r="CJ88" s="52" t="str">
        <f t="shared" si="454"/>
        <v>-</v>
      </c>
      <c r="CK88" s="52" t="str">
        <f t="shared" si="455"/>
        <v>-</v>
      </c>
      <c r="CL88" s="52" t="str">
        <f t="shared" si="456"/>
        <v>-</v>
      </c>
      <c r="CM88" s="52" t="str">
        <f t="shared" si="457"/>
        <v>-</v>
      </c>
      <c r="CN88" s="52" t="str">
        <f t="shared" si="458"/>
        <v>-</v>
      </c>
      <c r="CO88" s="53" t="str">
        <f t="shared" si="459"/>
        <v>-</v>
      </c>
      <c r="CQ88" s="305" t="str">
        <f t="shared" si="378"/>
        <v>-</v>
      </c>
      <c r="CR88" s="305">
        <f t="shared" si="379"/>
        <v>43.65</v>
      </c>
      <c r="CS88" s="305" t="str">
        <f t="shared" si="380"/>
        <v>-</v>
      </c>
      <c r="CT88" s="305" t="str">
        <f t="shared" si="381"/>
        <v>-</v>
      </c>
      <c r="CU88" s="305" t="str">
        <f t="shared" si="382"/>
        <v>-</v>
      </c>
      <c r="CV88" s="305" t="str">
        <f t="shared" si="383"/>
        <v>-</v>
      </c>
      <c r="CX88" s="51" t="str">
        <f t="shared" si="328"/>
        <v>-</v>
      </c>
      <c r="CY88" s="52">
        <f t="shared" si="329"/>
        <v>42.45</v>
      </c>
      <c r="CZ88" s="53" t="str">
        <f t="shared" si="330"/>
        <v>-</v>
      </c>
      <c r="DA88" s="51" t="str">
        <f t="shared" si="331"/>
        <v>-</v>
      </c>
      <c r="DB88" s="52" t="str">
        <f t="shared" si="332"/>
        <v>-</v>
      </c>
      <c r="DC88" s="53" t="str">
        <f t="shared" si="333"/>
        <v>-</v>
      </c>
      <c r="DD88" s="57"/>
      <c r="DE88" s="106" t="str">
        <f t="shared" si="334"/>
        <v>-</v>
      </c>
      <c r="DF88" s="107" t="str">
        <f t="shared" si="335"/>
        <v>-</v>
      </c>
      <c r="DG88" s="107" t="str">
        <f t="shared" si="336"/>
        <v>-</v>
      </c>
      <c r="DH88" s="107" t="str">
        <f t="shared" si="337"/>
        <v>-</v>
      </c>
      <c r="DI88" s="107" t="str">
        <f t="shared" si="338"/>
        <v>-</v>
      </c>
      <c r="DJ88" s="107" t="str">
        <f t="shared" si="339"/>
        <v>-</v>
      </c>
      <c r="DK88" s="107" t="str">
        <f t="shared" si="340"/>
        <v>-</v>
      </c>
      <c r="DL88" s="107" t="str">
        <f t="shared" si="341"/>
        <v>-</v>
      </c>
      <c r="DM88" s="108" t="str">
        <f t="shared" si="342"/>
        <v>-</v>
      </c>
      <c r="DO88" s="106" t="str">
        <f t="shared" si="343"/>
        <v>-</v>
      </c>
      <c r="DP88" s="107" t="str">
        <f t="shared" si="344"/>
        <v>-</v>
      </c>
      <c r="DQ88" s="107" t="str">
        <f t="shared" si="345"/>
        <v>-</v>
      </c>
      <c r="DR88" s="107" t="str">
        <f t="shared" si="346"/>
        <v>-</v>
      </c>
      <c r="DS88" s="107" t="str">
        <f t="shared" si="347"/>
        <v>-</v>
      </c>
      <c r="DT88" s="107" t="str">
        <f t="shared" si="348"/>
        <v>-</v>
      </c>
      <c r="DU88" s="107" t="str">
        <f t="shared" si="349"/>
        <v>-</v>
      </c>
      <c r="DV88" s="107" t="str">
        <f t="shared" si="350"/>
        <v>-</v>
      </c>
      <c r="DW88" s="108" t="str">
        <f t="shared" si="351"/>
        <v>-</v>
      </c>
      <c r="DX88" s="109" t="str">
        <f t="shared" si="352"/>
        <v>-</v>
      </c>
      <c r="DY88" s="110" t="str">
        <f t="shared" si="353"/>
        <v>-</v>
      </c>
      <c r="DZ88" s="110" t="str">
        <f t="shared" si="354"/>
        <v>-</v>
      </c>
      <c r="EA88" s="110">
        <f t="shared" si="355"/>
        <v>43.65</v>
      </c>
      <c r="EB88" s="110" t="str">
        <f t="shared" si="356"/>
        <v>-</v>
      </c>
      <c r="EC88" s="110" t="str">
        <f t="shared" si="357"/>
        <v>-</v>
      </c>
      <c r="ED88" s="110" t="str">
        <f t="shared" si="358"/>
        <v>-</v>
      </c>
      <c r="EE88" s="110" t="str">
        <f t="shared" si="359"/>
        <v>-</v>
      </c>
      <c r="EF88" s="111" t="str">
        <f t="shared" si="360"/>
        <v>-</v>
      </c>
      <c r="EG88" s="109" t="str">
        <f t="shared" si="361"/>
        <v>-</v>
      </c>
      <c r="EH88" s="110" t="str">
        <f t="shared" si="362"/>
        <v>-</v>
      </c>
      <c r="EI88" s="110" t="str">
        <f t="shared" si="363"/>
        <v>-</v>
      </c>
      <c r="EJ88" s="110" t="str">
        <f t="shared" si="364"/>
        <v>-</v>
      </c>
      <c r="EK88" s="110" t="str">
        <f t="shared" si="365"/>
        <v>-</v>
      </c>
      <c r="EL88" s="110" t="str">
        <f t="shared" si="366"/>
        <v>-</v>
      </c>
      <c r="EM88" s="110" t="str">
        <f t="shared" si="367"/>
        <v>-</v>
      </c>
      <c r="EN88" s="110" t="str">
        <f t="shared" si="368"/>
        <v>-</v>
      </c>
      <c r="EO88" s="111" t="str">
        <f t="shared" si="369"/>
        <v>-</v>
      </c>
      <c r="EQ88" s="118">
        <f t="shared" si="370"/>
        <v>42.45</v>
      </c>
      <c r="ER88" s="119" t="str">
        <f t="shared" si="371"/>
        <v>-</v>
      </c>
      <c r="ES88" s="120" t="str">
        <f t="shared" si="372"/>
        <v>-</v>
      </c>
      <c r="ET88" s="90">
        <v>2</v>
      </c>
      <c r="EU88" s="118">
        <f t="shared" si="373"/>
        <v>2</v>
      </c>
      <c r="EV88" s="119" t="str">
        <f t="shared" si="374"/>
        <v>-</v>
      </c>
      <c r="EW88" s="120" t="str">
        <f t="shared" si="375"/>
        <v>-</v>
      </c>
    </row>
    <row r="89" spans="1:153" ht="15.75" thickBot="1" x14ac:dyDescent="0.3">
      <c r="A89" s="41"/>
      <c r="B89" s="171" t="s">
        <v>521</v>
      </c>
      <c r="C89" s="171" t="s">
        <v>523</v>
      </c>
      <c r="D89" s="42">
        <f>VLOOKUP(B89,'BASE DE DATOS'!$B$3:$E$106,2,FALSE)</f>
        <v>34.54</v>
      </c>
      <c r="E89" s="42">
        <f>VLOOKUP(B89,'BASE DE DATOS'!$B$3:$E$106,4,FALSE)</f>
        <v>1.1999999999999957</v>
      </c>
      <c r="F89" s="42">
        <f>VLOOKUP(C89,'BASE DE DATOS'!$B$3:$E$106,2,FALSE)</f>
        <v>34.51</v>
      </c>
      <c r="G89" s="42">
        <f>VLOOKUP(C89,'BASE DE DATOS'!$B$3:$E$106,4,FALSE)</f>
        <v>1.9899999999999949</v>
      </c>
      <c r="H89" s="43">
        <f t="shared" si="387"/>
        <v>1.5949999999999953</v>
      </c>
      <c r="I89" s="171">
        <v>51.97</v>
      </c>
      <c r="J89" s="44">
        <f t="shared" si="384"/>
        <v>51.98</v>
      </c>
      <c r="K89" s="40">
        <f t="shared" si="385"/>
        <v>50.38</v>
      </c>
      <c r="L89" s="40">
        <f t="shared" si="386"/>
        <v>50.78</v>
      </c>
      <c r="M89" s="44">
        <f t="shared" si="376"/>
        <v>200</v>
      </c>
      <c r="N89" s="40">
        <f t="shared" si="377"/>
        <v>51.97</v>
      </c>
      <c r="O89" s="171" t="s">
        <v>120</v>
      </c>
      <c r="P89" s="19">
        <v>187.6</v>
      </c>
      <c r="Q89" s="171" t="s">
        <v>123</v>
      </c>
      <c r="R89" s="171" t="s">
        <v>133</v>
      </c>
      <c r="S89" s="171" t="s">
        <v>147</v>
      </c>
      <c r="T89" s="171" t="s">
        <v>146</v>
      </c>
      <c r="V89" s="51" t="str">
        <f t="shared" si="388"/>
        <v>-</v>
      </c>
      <c r="W89" s="52" t="str">
        <f t="shared" si="389"/>
        <v>-</v>
      </c>
      <c r="X89" s="52" t="str">
        <f t="shared" si="390"/>
        <v>-</v>
      </c>
      <c r="Y89" s="52" t="str">
        <f t="shared" si="391"/>
        <v>-</v>
      </c>
      <c r="Z89" s="52" t="str">
        <f t="shared" si="392"/>
        <v>-</v>
      </c>
      <c r="AA89" s="52">
        <f t="shared" si="393"/>
        <v>50.38</v>
      </c>
      <c r="AB89" s="52" t="str">
        <f t="shared" si="394"/>
        <v>-</v>
      </c>
      <c r="AC89" s="52" t="str">
        <f t="shared" si="395"/>
        <v>-</v>
      </c>
      <c r="AD89" s="52" t="str">
        <f t="shared" si="396"/>
        <v>-</v>
      </c>
      <c r="AE89" s="52" t="str">
        <f t="shared" si="397"/>
        <v>-</v>
      </c>
      <c r="AF89" s="52" t="str">
        <f t="shared" si="398"/>
        <v>-</v>
      </c>
      <c r="AG89" s="52" t="str">
        <f t="shared" si="399"/>
        <v>-</v>
      </c>
      <c r="AH89" s="52" t="str">
        <f t="shared" si="400"/>
        <v>-</v>
      </c>
      <c r="AI89" s="52" t="str">
        <f t="shared" si="401"/>
        <v>-</v>
      </c>
      <c r="AJ89" s="52" t="str">
        <f t="shared" si="402"/>
        <v>-</v>
      </c>
      <c r="AK89" s="52" t="str">
        <f t="shared" si="403"/>
        <v>-</v>
      </c>
      <c r="AL89" s="52" t="str">
        <f t="shared" si="404"/>
        <v>-</v>
      </c>
      <c r="AM89" s="53" t="str">
        <f t="shared" si="405"/>
        <v>-</v>
      </c>
      <c r="AN89" s="51" t="str">
        <f t="shared" si="406"/>
        <v>-</v>
      </c>
      <c r="AO89" s="52" t="str">
        <f t="shared" si="407"/>
        <v>-</v>
      </c>
      <c r="AP89" s="52" t="str">
        <f t="shared" si="408"/>
        <v>-</v>
      </c>
      <c r="AQ89" s="52" t="str">
        <f t="shared" si="409"/>
        <v>-</v>
      </c>
      <c r="AR89" s="52" t="str">
        <f t="shared" si="410"/>
        <v>-</v>
      </c>
      <c r="AS89" s="52" t="str">
        <f t="shared" si="411"/>
        <v>-</v>
      </c>
      <c r="AT89" s="52" t="str">
        <f t="shared" si="412"/>
        <v>-</v>
      </c>
      <c r="AU89" s="52" t="str">
        <f t="shared" si="413"/>
        <v>-</v>
      </c>
      <c r="AV89" s="52" t="str">
        <f t="shared" si="414"/>
        <v>-</v>
      </c>
      <c r="AW89" s="52" t="str">
        <f t="shared" si="415"/>
        <v>-</v>
      </c>
      <c r="AX89" s="52" t="str">
        <f t="shared" si="416"/>
        <v>-</v>
      </c>
      <c r="AY89" s="52" t="str">
        <f t="shared" si="417"/>
        <v>-</v>
      </c>
      <c r="AZ89" s="52" t="str">
        <f t="shared" si="418"/>
        <v>-</v>
      </c>
      <c r="BA89" s="52" t="str">
        <f t="shared" si="419"/>
        <v>-</v>
      </c>
      <c r="BB89" s="52" t="str">
        <f t="shared" si="420"/>
        <v>-</v>
      </c>
      <c r="BC89" s="52" t="str">
        <f t="shared" si="421"/>
        <v>-</v>
      </c>
      <c r="BD89" s="52" t="str">
        <f t="shared" si="422"/>
        <v>-</v>
      </c>
      <c r="BE89" s="53" t="str">
        <f t="shared" si="423"/>
        <v>-</v>
      </c>
      <c r="BF89" s="51" t="str">
        <f t="shared" si="424"/>
        <v>-</v>
      </c>
      <c r="BG89" s="52" t="str">
        <f t="shared" si="425"/>
        <v>-</v>
      </c>
      <c r="BH89" s="52" t="str">
        <f t="shared" si="426"/>
        <v>-</v>
      </c>
      <c r="BI89" s="52" t="str">
        <f t="shared" si="427"/>
        <v>-</v>
      </c>
      <c r="BJ89" s="52" t="str">
        <f t="shared" si="428"/>
        <v>-</v>
      </c>
      <c r="BK89" s="52" t="str">
        <f t="shared" si="429"/>
        <v>-</v>
      </c>
      <c r="BL89" s="52" t="str">
        <f t="shared" si="430"/>
        <v>-</v>
      </c>
      <c r="BM89" s="52" t="str">
        <f t="shared" si="431"/>
        <v>-</v>
      </c>
      <c r="BN89" s="52" t="str">
        <f t="shared" si="432"/>
        <v>-</v>
      </c>
      <c r="BO89" s="52" t="str">
        <f t="shared" si="433"/>
        <v>-</v>
      </c>
      <c r="BP89" s="52" t="str">
        <f t="shared" si="434"/>
        <v>-</v>
      </c>
      <c r="BQ89" s="52" t="str">
        <f t="shared" si="435"/>
        <v>-</v>
      </c>
      <c r="BR89" s="52" t="str">
        <f t="shared" si="436"/>
        <v>-</v>
      </c>
      <c r="BS89" s="52" t="str">
        <f t="shared" si="437"/>
        <v>-</v>
      </c>
      <c r="BT89" s="52" t="str">
        <f t="shared" si="438"/>
        <v>-</v>
      </c>
      <c r="BU89" s="52" t="str">
        <f t="shared" si="439"/>
        <v>-</v>
      </c>
      <c r="BV89" s="52" t="str">
        <f t="shared" si="440"/>
        <v>-</v>
      </c>
      <c r="BW89" s="53" t="str">
        <f t="shared" si="441"/>
        <v>-</v>
      </c>
      <c r="BX89" s="51" t="str">
        <f t="shared" si="442"/>
        <v>-</v>
      </c>
      <c r="BY89" s="52" t="str">
        <f t="shared" si="443"/>
        <v>-</v>
      </c>
      <c r="BZ89" s="52" t="str">
        <f t="shared" si="444"/>
        <v>-</v>
      </c>
      <c r="CA89" s="52" t="str">
        <f t="shared" si="445"/>
        <v>-</v>
      </c>
      <c r="CB89" s="52" t="str">
        <f t="shared" si="446"/>
        <v>-</v>
      </c>
      <c r="CC89" s="52" t="str">
        <f t="shared" si="447"/>
        <v>-</v>
      </c>
      <c r="CD89" s="52" t="str">
        <f t="shared" si="448"/>
        <v>-</v>
      </c>
      <c r="CE89" s="52" t="str">
        <f t="shared" si="449"/>
        <v>-</v>
      </c>
      <c r="CF89" s="52" t="str">
        <f t="shared" si="450"/>
        <v>-</v>
      </c>
      <c r="CG89" s="52" t="str">
        <f t="shared" si="451"/>
        <v>-</v>
      </c>
      <c r="CH89" s="52" t="str">
        <f t="shared" si="452"/>
        <v>-</v>
      </c>
      <c r="CI89" s="52" t="str">
        <f t="shared" si="453"/>
        <v>-</v>
      </c>
      <c r="CJ89" s="52" t="str">
        <f t="shared" si="454"/>
        <v>-</v>
      </c>
      <c r="CK89" s="52" t="str">
        <f t="shared" si="455"/>
        <v>-</v>
      </c>
      <c r="CL89" s="52" t="str">
        <f t="shared" si="456"/>
        <v>-</v>
      </c>
      <c r="CM89" s="52" t="str">
        <f t="shared" si="457"/>
        <v>-</v>
      </c>
      <c r="CN89" s="52" t="str">
        <f t="shared" si="458"/>
        <v>-</v>
      </c>
      <c r="CO89" s="53" t="str">
        <f t="shared" si="459"/>
        <v>-</v>
      </c>
      <c r="CQ89" s="305" t="str">
        <f t="shared" si="378"/>
        <v>-</v>
      </c>
      <c r="CR89" s="305">
        <f t="shared" si="379"/>
        <v>51.97</v>
      </c>
      <c r="CS89" s="305" t="str">
        <f t="shared" si="380"/>
        <v>-</v>
      </c>
      <c r="CT89" s="305" t="str">
        <f t="shared" si="381"/>
        <v>-</v>
      </c>
      <c r="CU89" s="305" t="str">
        <f t="shared" si="382"/>
        <v>-</v>
      </c>
      <c r="CV89" s="305" t="str">
        <f t="shared" si="383"/>
        <v>-</v>
      </c>
      <c r="CX89" s="51" t="str">
        <f t="shared" si="328"/>
        <v>-</v>
      </c>
      <c r="CY89" s="52">
        <f t="shared" si="329"/>
        <v>50.78</v>
      </c>
      <c r="CZ89" s="53" t="str">
        <f t="shared" si="330"/>
        <v>-</v>
      </c>
      <c r="DA89" s="51" t="str">
        <f t="shared" si="331"/>
        <v>-</v>
      </c>
      <c r="DB89" s="52" t="str">
        <f t="shared" si="332"/>
        <v>-</v>
      </c>
      <c r="DC89" s="53" t="str">
        <f t="shared" si="333"/>
        <v>-</v>
      </c>
      <c r="DD89" s="57"/>
      <c r="DE89" s="106" t="str">
        <f t="shared" si="334"/>
        <v>-</v>
      </c>
      <c r="DF89" s="107" t="str">
        <f t="shared" si="335"/>
        <v>-</v>
      </c>
      <c r="DG89" s="107" t="str">
        <f t="shared" si="336"/>
        <v>-</v>
      </c>
      <c r="DH89" s="107" t="str">
        <f t="shared" si="337"/>
        <v>-</v>
      </c>
      <c r="DI89" s="107" t="str">
        <f t="shared" si="338"/>
        <v>-</v>
      </c>
      <c r="DJ89" s="107" t="str">
        <f t="shared" si="339"/>
        <v>-</v>
      </c>
      <c r="DK89" s="107" t="str">
        <f t="shared" si="340"/>
        <v>-</v>
      </c>
      <c r="DL89" s="107" t="str">
        <f t="shared" si="341"/>
        <v>-</v>
      </c>
      <c r="DM89" s="108" t="str">
        <f t="shared" si="342"/>
        <v>-</v>
      </c>
      <c r="DO89" s="106" t="str">
        <f t="shared" si="343"/>
        <v>-</v>
      </c>
      <c r="DP89" s="107" t="str">
        <f t="shared" si="344"/>
        <v>-</v>
      </c>
      <c r="DQ89" s="107" t="str">
        <f t="shared" si="345"/>
        <v>-</v>
      </c>
      <c r="DR89" s="107" t="str">
        <f t="shared" si="346"/>
        <v>-</v>
      </c>
      <c r="DS89" s="107" t="str">
        <f t="shared" si="347"/>
        <v>-</v>
      </c>
      <c r="DT89" s="107" t="str">
        <f t="shared" si="348"/>
        <v>-</v>
      </c>
      <c r="DU89" s="107" t="str">
        <f t="shared" si="349"/>
        <v>-</v>
      </c>
      <c r="DV89" s="107" t="str">
        <f t="shared" si="350"/>
        <v>-</v>
      </c>
      <c r="DW89" s="108" t="str">
        <f t="shared" si="351"/>
        <v>-</v>
      </c>
      <c r="DX89" s="109" t="str">
        <f t="shared" si="352"/>
        <v>-</v>
      </c>
      <c r="DY89" s="110" t="str">
        <f t="shared" si="353"/>
        <v>-</v>
      </c>
      <c r="DZ89" s="110" t="str">
        <f t="shared" si="354"/>
        <v>-</v>
      </c>
      <c r="EA89" s="110">
        <f t="shared" si="355"/>
        <v>51.97</v>
      </c>
      <c r="EB89" s="110" t="str">
        <f t="shared" si="356"/>
        <v>-</v>
      </c>
      <c r="EC89" s="110" t="str">
        <f t="shared" si="357"/>
        <v>-</v>
      </c>
      <c r="ED89" s="110" t="str">
        <f t="shared" si="358"/>
        <v>-</v>
      </c>
      <c r="EE89" s="110" t="str">
        <f t="shared" si="359"/>
        <v>-</v>
      </c>
      <c r="EF89" s="111" t="str">
        <f t="shared" si="360"/>
        <v>-</v>
      </c>
      <c r="EG89" s="109" t="str">
        <f t="shared" si="361"/>
        <v>-</v>
      </c>
      <c r="EH89" s="110" t="str">
        <f t="shared" si="362"/>
        <v>-</v>
      </c>
      <c r="EI89" s="110" t="str">
        <f t="shared" si="363"/>
        <v>-</v>
      </c>
      <c r="EJ89" s="110" t="str">
        <f t="shared" si="364"/>
        <v>-</v>
      </c>
      <c r="EK89" s="110" t="str">
        <f t="shared" si="365"/>
        <v>-</v>
      </c>
      <c r="EL89" s="110" t="str">
        <f t="shared" si="366"/>
        <v>-</v>
      </c>
      <c r="EM89" s="110" t="str">
        <f t="shared" si="367"/>
        <v>-</v>
      </c>
      <c r="EN89" s="110" t="str">
        <f t="shared" si="368"/>
        <v>-</v>
      </c>
      <c r="EO89" s="111" t="str">
        <f t="shared" si="369"/>
        <v>-</v>
      </c>
      <c r="EQ89" s="118">
        <f t="shared" si="370"/>
        <v>50.78</v>
      </c>
      <c r="ER89" s="119" t="str">
        <f t="shared" si="371"/>
        <v>-</v>
      </c>
      <c r="ES89" s="120" t="str">
        <f t="shared" si="372"/>
        <v>-</v>
      </c>
      <c r="ET89" s="90">
        <v>2</v>
      </c>
      <c r="EU89" s="118">
        <f t="shared" si="373"/>
        <v>2</v>
      </c>
      <c r="EV89" s="119" t="str">
        <f t="shared" si="374"/>
        <v>-</v>
      </c>
      <c r="EW89" s="120" t="str">
        <f t="shared" si="375"/>
        <v>-</v>
      </c>
    </row>
    <row r="90" spans="1:153" ht="15.75" thickBot="1" x14ac:dyDescent="0.3">
      <c r="A90" s="41"/>
      <c r="B90" s="171" t="s">
        <v>522</v>
      </c>
      <c r="C90" s="171" t="s">
        <v>523</v>
      </c>
      <c r="D90" s="42">
        <f>VLOOKUP(B90,'BASE DE DATOS'!$B$3:$E$106,2,FALSE)</f>
        <v>34.83</v>
      </c>
      <c r="E90" s="42">
        <f>VLOOKUP(B90,'BASE DE DATOS'!$B$3:$E$106,4,FALSE)</f>
        <v>1.9499999999999957</v>
      </c>
      <c r="F90" s="42">
        <f>VLOOKUP(C90,'BASE DE DATOS'!$B$3:$E$106,2,FALSE)</f>
        <v>34.51</v>
      </c>
      <c r="G90" s="42">
        <f>VLOOKUP(C90,'BASE DE DATOS'!$B$3:$E$106,4,FALSE)</f>
        <v>1.9899999999999949</v>
      </c>
      <c r="H90" s="43">
        <f t="shared" si="387"/>
        <v>1.9699999999999953</v>
      </c>
      <c r="I90" s="171">
        <v>45.62</v>
      </c>
      <c r="J90" s="44">
        <f t="shared" si="384"/>
        <v>45.62</v>
      </c>
      <c r="K90" s="40">
        <f t="shared" si="385"/>
        <v>44.02</v>
      </c>
      <c r="L90" s="40">
        <f t="shared" si="386"/>
        <v>44.42</v>
      </c>
      <c r="M90" s="40">
        <f t="shared" si="376"/>
        <v>200</v>
      </c>
      <c r="N90" s="40">
        <f t="shared" si="377"/>
        <v>45.62</v>
      </c>
      <c r="O90" s="171" t="s">
        <v>120</v>
      </c>
      <c r="P90" s="19">
        <v>187.6</v>
      </c>
      <c r="Q90" s="171" t="s">
        <v>123</v>
      </c>
      <c r="R90" s="171" t="s">
        <v>133</v>
      </c>
      <c r="S90" s="171" t="s">
        <v>147</v>
      </c>
      <c r="T90" s="171" t="s">
        <v>146</v>
      </c>
      <c r="V90" s="51" t="str">
        <f t="shared" si="388"/>
        <v>-</v>
      </c>
      <c r="W90" s="52" t="str">
        <f t="shared" si="389"/>
        <v>-</v>
      </c>
      <c r="X90" s="52" t="str">
        <f t="shared" si="390"/>
        <v>-</v>
      </c>
      <c r="Y90" s="52" t="str">
        <f t="shared" si="391"/>
        <v>-</v>
      </c>
      <c r="Z90" s="52" t="str">
        <f t="shared" si="392"/>
        <v>-</v>
      </c>
      <c r="AA90" s="52" t="str">
        <f t="shared" si="393"/>
        <v>-</v>
      </c>
      <c r="AB90" s="52" t="str">
        <f t="shared" si="394"/>
        <v>-</v>
      </c>
      <c r="AC90" s="52">
        <f t="shared" si="395"/>
        <v>44.02</v>
      </c>
      <c r="AD90" s="52" t="str">
        <f t="shared" si="396"/>
        <v>-</v>
      </c>
      <c r="AE90" s="52" t="str">
        <f t="shared" si="397"/>
        <v>-</v>
      </c>
      <c r="AF90" s="52" t="str">
        <f t="shared" si="398"/>
        <v>-</v>
      </c>
      <c r="AG90" s="52" t="str">
        <f t="shared" si="399"/>
        <v>-</v>
      </c>
      <c r="AH90" s="52" t="str">
        <f t="shared" si="400"/>
        <v>-</v>
      </c>
      <c r="AI90" s="52" t="str">
        <f t="shared" si="401"/>
        <v>-</v>
      </c>
      <c r="AJ90" s="52" t="str">
        <f t="shared" si="402"/>
        <v>-</v>
      </c>
      <c r="AK90" s="52" t="str">
        <f t="shared" si="403"/>
        <v>-</v>
      </c>
      <c r="AL90" s="52" t="str">
        <f t="shared" si="404"/>
        <v>-</v>
      </c>
      <c r="AM90" s="53" t="str">
        <f t="shared" si="405"/>
        <v>-</v>
      </c>
      <c r="AN90" s="51" t="str">
        <f t="shared" si="406"/>
        <v>-</v>
      </c>
      <c r="AO90" s="52" t="str">
        <f t="shared" si="407"/>
        <v>-</v>
      </c>
      <c r="AP90" s="52" t="str">
        <f t="shared" si="408"/>
        <v>-</v>
      </c>
      <c r="AQ90" s="52" t="str">
        <f t="shared" si="409"/>
        <v>-</v>
      </c>
      <c r="AR90" s="52" t="str">
        <f t="shared" si="410"/>
        <v>-</v>
      </c>
      <c r="AS90" s="52" t="str">
        <f t="shared" si="411"/>
        <v>-</v>
      </c>
      <c r="AT90" s="52" t="str">
        <f t="shared" si="412"/>
        <v>-</v>
      </c>
      <c r="AU90" s="52" t="str">
        <f t="shared" si="413"/>
        <v>-</v>
      </c>
      <c r="AV90" s="52" t="str">
        <f t="shared" si="414"/>
        <v>-</v>
      </c>
      <c r="AW90" s="52" t="str">
        <f t="shared" si="415"/>
        <v>-</v>
      </c>
      <c r="AX90" s="52" t="str">
        <f t="shared" si="416"/>
        <v>-</v>
      </c>
      <c r="AY90" s="52" t="str">
        <f t="shared" si="417"/>
        <v>-</v>
      </c>
      <c r="AZ90" s="52" t="str">
        <f t="shared" si="418"/>
        <v>-</v>
      </c>
      <c r="BA90" s="52" t="str">
        <f t="shared" si="419"/>
        <v>-</v>
      </c>
      <c r="BB90" s="52" t="str">
        <f t="shared" si="420"/>
        <v>-</v>
      </c>
      <c r="BC90" s="52" t="str">
        <f t="shared" si="421"/>
        <v>-</v>
      </c>
      <c r="BD90" s="52" t="str">
        <f t="shared" si="422"/>
        <v>-</v>
      </c>
      <c r="BE90" s="53" t="str">
        <f t="shared" si="423"/>
        <v>-</v>
      </c>
      <c r="BF90" s="51" t="str">
        <f t="shared" si="424"/>
        <v>-</v>
      </c>
      <c r="BG90" s="52" t="str">
        <f t="shared" si="425"/>
        <v>-</v>
      </c>
      <c r="BH90" s="52" t="str">
        <f t="shared" si="426"/>
        <v>-</v>
      </c>
      <c r="BI90" s="52" t="str">
        <f t="shared" si="427"/>
        <v>-</v>
      </c>
      <c r="BJ90" s="52" t="str">
        <f t="shared" si="428"/>
        <v>-</v>
      </c>
      <c r="BK90" s="52" t="str">
        <f t="shared" si="429"/>
        <v>-</v>
      </c>
      <c r="BL90" s="52" t="str">
        <f t="shared" si="430"/>
        <v>-</v>
      </c>
      <c r="BM90" s="52" t="str">
        <f t="shared" si="431"/>
        <v>-</v>
      </c>
      <c r="BN90" s="52" t="str">
        <f t="shared" si="432"/>
        <v>-</v>
      </c>
      <c r="BO90" s="52" t="str">
        <f t="shared" si="433"/>
        <v>-</v>
      </c>
      <c r="BP90" s="52" t="str">
        <f t="shared" si="434"/>
        <v>-</v>
      </c>
      <c r="BQ90" s="52" t="str">
        <f t="shared" si="435"/>
        <v>-</v>
      </c>
      <c r="BR90" s="52" t="str">
        <f t="shared" si="436"/>
        <v>-</v>
      </c>
      <c r="BS90" s="52" t="str">
        <f t="shared" si="437"/>
        <v>-</v>
      </c>
      <c r="BT90" s="52" t="str">
        <f t="shared" si="438"/>
        <v>-</v>
      </c>
      <c r="BU90" s="52" t="str">
        <f t="shared" si="439"/>
        <v>-</v>
      </c>
      <c r="BV90" s="52" t="str">
        <f t="shared" si="440"/>
        <v>-</v>
      </c>
      <c r="BW90" s="53" t="str">
        <f t="shared" si="441"/>
        <v>-</v>
      </c>
      <c r="BX90" s="51" t="str">
        <f t="shared" si="442"/>
        <v>-</v>
      </c>
      <c r="BY90" s="52" t="str">
        <f t="shared" si="443"/>
        <v>-</v>
      </c>
      <c r="BZ90" s="52" t="str">
        <f t="shared" si="444"/>
        <v>-</v>
      </c>
      <c r="CA90" s="52" t="str">
        <f t="shared" si="445"/>
        <v>-</v>
      </c>
      <c r="CB90" s="52" t="str">
        <f t="shared" si="446"/>
        <v>-</v>
      </c>
      <c r="CC90" s="52" t="str">
        <f t="shared" si="447"/>
        <v>-</v>
      </c>
      <c r="CD90" s="52" t="str">
        <f t="shared" si="448"/>
        <v>-</v>
      </c>
      <c r="CE90" s="52" t="str">
        <f t="shared" si="449"/>
        <v>-</v>
      </c>
      <c r="CF90" s="52" t="str">
        <f t="shared" si="450"/>
        <v>-</v>
      </c>
      <c r="CG90" s="52" t="str">
        <f t="shared" si="451"/>
        <v>-</v>
      </c>
      <c r="CH90" s="52" t="str">
        <f t="shared" si="452"/>
        <v>-</v>
      </c>
      <c r="CI90" s="52" t="str">
        <f t="shared" si="453"/>
        <v>-</v>
      </c>
      <c r="CJ90" s="52" t="str">
        <f t="shared" si="454"/>
        <v>-</v>
      </c>
      <c r="CK90" s="52" t="str">
        <f t="shared" si="455"/>
        <v>-</v>
      </c>
      <c r="CL90" s="52" t="str">
        <f t="shared" si="456"/>
        <v>-</v>
      </c>
      <c r="CM90" s="52" t="str">
        <f t="shared" si="457"/>
        <v>-</v>
      </c>
      <c r="CN90" s="52" t="str">
        <f t="shared" si="458"/>
        <v>-</v>
      </c>
      <c r="CO90" s="53" t="str">
        <f t="shared" si="459"/>
        <v>-</v>
      </c>
      <c r="CQ90" s="305" t="str">
        <f t="shared" si="378"/>
        <v>-</v>
      </c>
      <c r="CR90" s="305">
        <f t="shared" si="379"/>
        <v>45.62</v>
      </c>
      <c r="CS90" s="305" t="str">
        <f t="shared" si="380"/>
        <v>-</v>
      </c>
      <c r="CT90" s="305" t="str">
        <f t="shared" si="381"/>
        <v>-</v>
      </c>
      <c r="CU90" s="305" t="str">
        <f t="shared" si="382"/>
        <v>-</v>
      </c>
      <c r="CV90" s="305" t="str">
        <f t="shared" si="383"/>
        <v>-</v>
      </c>
      <c r="CX90" s="51" t="str">
        <f t="shared" si="328"/>
        <v>-</v>
      </c>
      <c r="CY90" s="52">
        <f t="shared" si="329"/>
        <v>44.42</v>
      </c>
      <c r="CZ90" s="53" t="str">
        <f t="shared" si="330"/>
        <v>-</v>
      </c>
      <c r="DA90" s="51" t="str">
        <f t="shared" si="331"/>
        <v>-</v>
      </c>
      <c r="DB90" s="52" t="str">
        <f t="shared" si="332"/>
        <v>-</v>
      </c>
      <c r="DC90" s="53" t="str">
        <f t="shared" si="333"/>
        <v>-</v>
      </c>
      <c r="DD90" s="57"/>
      <c r="DE90" s="106" t="str">
        <f t="shared" si="334"/>
        <v>-</v>
      </c>
      <c r="DF90" s="107" t="str">
        <f t="shared" si="335"/>
        <v>-</v>
      </c>
      <c r="DG90" s="107" t="str">
        <f t="shared" si="336"/>
        <v>-</v>
      </c>
      <c r="DH90" s="107" t="str">
        <f t="shared" si="337"/>
        <v>-</v>
      </c>
      <c r="DI90" s="107" t="str">
        <f t="shared" si="338"/>
        <v>-</v>
      </c>
      <c r="DJ90" s="107" t="str">
        <f t="shared" si="339"/>
        <v>-</v>
      </c>
      <c r="DK90" s="107" t="str">
        <f t="shared" si="340"/>
        <v>-</v>
      </c>
      <c r="DL90" s="107" t="str">
        <f t="shared" si="341"/>
        <v>-</v>
      </c>
      <c r="DM90" s="108" t="str">
        <f t="shared" si="342"/>
        <v>-</v>
      </c>
      <c r="DO90" s="106" t="str">
        <f t="shared" si="343"/>
        <v>-</v>
      </c>
      <c r="DP90" s="107" t="str">
        <f t="shared" si="344"/>
        <v>-</v>
      </c>
      <c r="DQ90" s="107" t="str">
        <f t="shared" si="345"/>
        <v>-</v>
      </c>
      <c r="DR90" s="107" t="str">
        <f t="shared" si="346"/>
        <v>-</v>
      </c>
      <c r="DS90" s="107" t="str">
        <f t="shared" si="347"/>
        <v>-</v>
      </c>
      <c r="DT90" s="107" t="str">
        <f t="shared" si="348"/>
        <v>-</v>
      </c>
      <c r="DU90" s="107" t="str">
        <f t="shared" si="349"/>
        <v>-</v>
      </c>
      <c r="DV90" s="107" t="str">
        <f t="shared" si="350"/>
        <v>-</v>
      </c>
      <c r="DW90" s="108" t="str">
        <f t="shared" si="351"/>
        <v>-</v>
      </c>
      <c r="DX90" s="109" t="str">
        <f t="shared" si="352"/>
        <v>-</v>
      </c>
      <c r="DY90" s="110" t="str">
        <f t="shared" si="353"/>
        <v>-</v>
      </c>
      <c r="DZ90" s="110" t="str">
        <f t="shared" si="354"/>
        <v>-</v>
      </c>
      <c r="EA90" s="110">
        <f t="shared" si="355"/>
        <v>45.62</v>
      </c>
      <c r="EB90" s="110" t="str">
        <f t="shared" si="356"/>
        <v>-</v>
      </c>
      <c r="EC90" s="110" t="str">
        <f t="shared" si="357"/>
        <v>-</v>
      </c>
      <c r="ED90" s="110" t="str">
        <f t="shared" si="358"/>
        <v>-</v>
      </c>
      <c r="EE90" s="110" t="str">
        <f t="shared" si="359"/>
        <v>-</v>
      </c>
      <c r="EF90" s="111" t="str">
        <f t="shared" si="360"/>
        <v>-</v>
      </c>
      <c r="EG90" s="109" t="str">
        <f t="shared" si="361"/>
        <v>-</v>
      </c>
      <c r="EH90" s="110" t="str">
        <f t="shared" si="362"/>
        <v>-</v>
      </c>
      <c r="EI90" s="110" t="str">
        <f t="shared" si="363"/>
        <v>-</v>
      </c>
      <c r="EJ90" s="110" t="str">
        <f t="shared" si="364"/>
        <v>-</v>
      </c>
      <c r="EK90" s="110" t="str">
        <f t="shared" si="365"/>
        <v>-</v>
      </c>
      <c r="EL90" s="110" t="str">
        <f t="shared" si="366"/>
        <v>-</v>
      </c>
      <c r="EM90" s="110" t="str">
        <f t="shared" si="367"/>
        <v>-</v>
      </c>
      <c r="EN90" s="110" t="str">
        <f t="shared" si="368"/>
        <v>-</v>
      </c>
      <c r="EO90" s="111" t="str">
        <f t="shared" si="369"/>
        <v>-</v>
      </c>
      <c r="EQ90" s="118">
        <f t="shared" si="370"/>
        <v>44.42</v>
      </c>
      <c r="ER90" s="119" t="str">
        <f t="shared" si="371"/>
        <v>-</v>
      </c>
      <c r="ES90" s="120" t="str">
        <f t="shared" si="372"/>
        <v>-</v>
      </c>
      <c r="ET90" s="90">
        <v>2</v>
      </c>
      <c r="EU90" s="118">
        <f t="shared" si="373"/>
        <v>2</v>
      </c>
      <c r="EV90" s="119" t="str">
        <f t="shared" si="374"/>
        <v>-</v>
      </c>
      <c r="EW90" s="120" t="str">
        <f t="shared" si="375"/>
        <v>-</v>
      </c>
    </row>
    <row r="91" spans="1:153" ht="15.75" thickBot="1" x14ac:dyDescent="0.3">
      <c r="A91" s="41"/>
      <c r="B91" s="171" t="s">
        <v>523</v>
      </c>
      <c r="C91" s="171" t="s">
        <v>524</v>
      </c>
      <c r="D91" s="42">
        <f>VLOOKUP(B91,'BASE DE DATOS'!$B$3:$E$106,2,FALSE)</f>
        <v>34.51</v>
      </c>
      <c r="E91" s="42">
        <f>VLOOKUP(B91,'BASE DE DATOS'!$B$3:$E$106,4,FALSE)</f>
        <v>1.9899999999999949</v>
      </c>
      <c r="F91" s="42">
        <f>VLOOKUP(C91,'BASE DE DATOS'!$B$3:$E$106,2,FALSE)</f>
        <v>34.21</v>
      </c>
      <c r="G91" s="42">
        <f>VLOOKUP(C91,'BASE DE DATOS'!$B$3:$E$106,4,FALSE)</f>
        <v>1.9699999999999989</v>
      </c>
      <c r="H91" s="43">
        <f t="shared" si="387"/>
        <v>1.9799999999999969</v>
      </c>
      <c r="I91" s="171">
        <v>71.290000000000006</v>
      </c>
      <c r="J91" s="44">
        <f t="shared" si="384"/>
        <v>71.290000000000006</v>
      </c>
      <c r="K91" s="40">
        <f t="shared" si="385"/>
        <v>69.69</v>
      </c>
      <c r="L91" s="40">
        <f t="shared" si="386"/>
        <v>70.09</v>
      </c>
      <c r="M91" s="44">
        <f t="shared" si="376"/>
        <v>200</v>
      </c>
      <c r="N91" s="40">
        <f t="shared" si="377"/>
        <v>71.290000000000006</v>
      </c>
      <c r="O91" s="171" t="s">
        <v>120</v>
      </c>
      <c r="P91" s="19">
        <v>187.6</v>
      </c>
      <c r="Q91" s="171" t="s">
        <v>123</v>
      </c>
      <c r="R91" s="171" t="s">
        <v>133</v>
      </c>
      <c r="S91" s="171" t="s">
        <v>147</v>
      </c>
      <c r="T91" s="171" t="s">
        <v>146</v>
      </c>
      <c r="V91" s="51" t="str">
        <f t="shared" si="388"/>
        <v>-</v>
      </c>
      <c r="W91" s="52" t="str">
        <f t="shared" si="389"/>
        <v>-</v>
      </c>
      <c r="X91" s="52" t="str">
        <f t="shared" si="390"/>
        <v>-</v>
      </c>
      <c r="Y91" s="52" t="str">
        <f t="shared" si="391"/>
        <v>-</v>
      </c>
      <c r="Z91" s="52" t="str">
        <f t="shared" si="392"/>
        <v>-</v>
      </c>
      <c r="AA91" s="52" t="str">
        <f t="shared" si="393"/>
        <v>-</v>
      </c>
      <c r="AB91" s="52" t="str">
        <f t="shared" si="394"/>
        <v>-</v>
      </c>
      <c r="AC91" s="52">
        <f t="shared" si="395"/>
        <v>69.69</v>
      </c>
      <c r="AD91" s="52" t="str">
        <f t="shared" si="396"/>
        <v>-</v>
      </c>
      <c r="AE91" s="52" t="str">
        <f t="shared" si="397"/>
        <v>-</v>
      </c>
      <c r="AF91" s="52" t="str">
        <f t="shared" si="398"/>
        <v>-</v>
      </c>
      <c r="AG91" s="52" t="str">
        <f t="shared" si="399"/>
        <v>-</v>
      </c>
      <c r="AH91" s="52" t="str">
        <f t="shared" si="400"/>
        <v>-</v>
      </c>
      <c r="AI91" s="52" t="str">
        <f t="shared" si="401"/>
        <v>-</v>
      </c>
      <c r="AJ91" s="52" t="str">
        <f t="shared" si="402"/>
        <v>-</v>
      </c>
      <c r="AK91" s="52" t="str">
        <f t="shared" si="403"/>
        <v>-</v>
      </c>
      <c r="AL91" s="52" t="str">
        <f t="shared" si="404"/>
        <v>-</v>
      </c>
      <c r="AM91" s="53" t="str">
        <f t="shared" si="405"/>
        <v>-</v>
      </c>
      <c r="AN91" s="51" t="str">
        <f t="shared" si="406"/>
        <v>-</v>
      </c>
      <c r="AO91" s="52" t="str">
        <f t="shared" si="407"/>
        <v>-</v>
      </c>
      <c r="AP91" s="52" t="str">
        <f t="shared" si="408"/>
        <v>-</v>
      </c>
      <c r="AQ91" s="52" t="str">
        <f t="shared" si="409"/>
        <v>-</v>
      </c>
      <c r="AR91" s="52" t="str">
        <f t="shared" si="410"/>
        <v>-</v>
      </c>
      <c r="AS91" s="52" t="str">
        <f t="shared" si="411"/>
        <v>-</v>
      </c>
      <c r="AT91" s="52" t="str">
        <f t="shared" si="412"/>
        <v>-</v>
      </c>
      <c r="AU91" s="52" t="str">
        <f t="shared" si="413"/>
        <v>-</v>
      </c>
      <c r="AV91" s="52" t="str">
        <f t="shared" si="414"/>
        <v>-</v>
      </c>
      <c r="AW91" s="52" t="str">
        <f t="shared" si="415"/>
        <v>-</v>
      </c>
      <c r="AX91" s="52" t="str">
        <f t="shared" si="416"/>
        <v>-</v>
      </c>
      <c r="AY91" s="52" t="str">
        <f t="shared" si="417"/>
        <v>-</v>
      </c>
      <c r="AZ91" s="52" t="str">
        <f t="shared" si="418"/>
        <v>-</v>
      </c>
      <c r="BA91" s="52" t="str">
        <f t="shared" si="419"/>
        <v>-</v>
      </c>
      <c r="BB91" s="52" t="str">
        <f t="shared" si="420"/>
        <v>-</v>
      </c>
      <c r="BC91" s="52" t="str">
        <f t="shared" si="421"/>
        <v>-</v>
      </c>
      <c r="BD91" s="52" t="str">
        <f t="shared" si="422"/>
        <v>-</v>
      </c>
      <c r="BE91" s="53" t="str">
        <f t="shared" si="423"/>
        <v>-</v>
      </c>
      <c r="BF91" s="51" t="str">
        <f t="shared" si="424"/>
        <v>-</v>
      </c>
      <c r="BG91" s="52" t="str">
        <f t="shared" si="425"/>
        <v>-</v>
      </c>
      <c r="BH91" s="52" t="str">
        <f t="shared" si="426"/>
        <v>-</v>
      </c>
      <c r="BI91" s="52" t="str">
        <f t="shared" si="427"/>
        <v>-</v>
      </c>
      <c r="BJ91" s="52" t="str">
        <f t="shared" si="428"/>
        <v>-</v>
      </c>
      <c r="BK91" s="52" t="str">
        <f t="shared" si="429"/>
        <v>-</v>
      </c>
      <c r="BL91" s="52" t="str">
        <f t="shared" si="430"/>
        <v>-</v>
      </c>
      <c r="BM91" s="52" t="str">
        <f t="shared" si="431"/>
        <v>-</v>
      </c>
      <c r="BN91" s="52" t="str">
        <f t="shared" si="432"/>
        <v>-</v>
      </c>
      <c r="BO91" s="52" t="str">
        <f t="shared" si="433"/>
        <v>-</v>
      </c>
      <c r="BP91" s="52" t="str">
        <f t="shared" si="434"/>
        <v>-</v>
      </c>
      <c r="BQ91" s="52" t="str">
        <f t="shared" si="435"/>
        <v>-</v>
      </c>
      <c r="BR91" s="52" t="str">
        <f t="shared" si="436"/>
        <v>-</v>
      </c>
      <c r="BS91" s="52" t="str">
        <f t="shared" si="437"/>
        <v>-</v>
      </c>
      <c r="BT91" s="52" t="str">
        <f t="shared" si="438"/>
        <v>-</v>
      </c>
      <c r="BU91" s="52" t="str">
        <f t="shared" si="439"/>
        <v>-</v>
      </c>
      <c r="BV91" s="52" t="str">
        <f t="shared" si="440"/>
        <v>-</v>
      </c>
      <c r="BW91" s="53" t="str">
        <f t="shared" si="441"/>
        <v>-</v>
      </c>
      <c r="BX91" s="51" t="str">
        <f t="shared" si="442"/>
        <v>-</v>
      </c>
      <c r="BY91" s="52" t="str">
        <f t="shared" si="443"/>
        <v>-</v>
      </c>
      <c r="BZ91" s="52" t="str">
        <f t="shared" si="444"/>
        <v>-</v>
      </c>
      <c r="CA91" s="52" t="str">
        <f t="shared" si="445"/>
        <v>-</v>
      </c>
      <c r="CB91" s="52" t="str">
        <f t="shared" si="446"/>
        <v>-</v>
      </c>
      <c r="CC91" s="52" t="str">
        <f t="shared" si="447"/>
        <v>-</v>
      </c>
      <c r="CD91" s="52" t="str">
        <f t="shared" si="448"/>
        <v>-</v>
      </c>
      <c r="CE91" s="52" t="str">
        <f t="shared" si="449"/>
        <v>-</v>
      </c>
      <c r="CF91" s="52" t="str">
        <f t="shared" si="450"/>
        <v>-</v>
      </c>
      <c r="CG91" s="52" t="str">
        <f t="shared" si="451"/>
        <v>-</v>
      </c>
      <c r="CH91" s="52" t="str">
        <f t="shared" si="452"/>
        <v>-</v>
      </c>
      <c r="CI91" s="52" t="str">
        <f t="shared" si="453"/>
        <v>-</v>
      </c>
      <c r="CJ91" s="52" t="str">
        <f t="shared" si="454"/>
        <v>-</v>
      </c>
      <c r="CK91" s="52" t="str">
        <f t="shared" si="455"/>
        <v>-</v>
      </c>
      <c r="CL91" s="52" t="str">
        <f t="shared" si="456"/>
        <v>-</v>
      </c>
      <c r="CM91" s="52" t="str">
        <f t="shared" si="457"/>
        <v>-</v>
      </c>
      <c r="CN91" s="52" t="str">
        <f t="shared" si="458"/>
        <v>-</v>
      </c>
      <c r="CO91" s="53" t="str">
        <f t="shared" si="459"/>
        <v>-</v>
      </c>
      <c r="CQ91" s="305" t="str">
        <f t="shared" si="378"/>
        <v>-</v>
      </c>
      <c r="CR91" s="305">
        <f t="shared" si="379"/>
        <v>71.290000000000006</v>
      </c>
      <c r="CS91" s="305" t="str">
        <f t="shared" si="380"/>
        <v>-</v>
      </c>
      <c r="CT91" s="305" t="str">
        <f t="shared" si="381"/>
        <v>-</v>
      </c>
      <c r="CU91" s="305" t="str">
        <f t="shared" si="382"/>
        <v>-</v>
      </c>
      <c r="CV91" s="305" t="str">
        <f t="shared" si="383"/>
        <v>-</v>
      </c>
      <c r="CX91" s="51" t="str">
        <f t="shared" si="328"/>
        <v>-</v>
      </c>
      <c r="CY91" s="52">
        <f t="shared" si="329"/>
        <v>70.09</v>
      </c>
      <c r="CZ91" s="53" t="str">
        <f t="shared" si="330"/>
        <v>-</v>
      </c>
      <c r="DA91" s="51" t="str">
        <f t="shared" si="331"/>
        <v>-</v>
      </c>
      <c r="DB91" s="52" t="str">
        <f t="shared" si="332"/>
        <v>-</v>
      </c>
      <c r="DC91" s="53" t="str">
        <f t="shared" si="333"/>
        <v>-</v>
      </c>
      <c r="DD91" s="57"/>
      <c r="DE91" s="106" t="str">
        <f t="shared" si="334"/>
        <v>-</v>
      </c>
      <c r="DF91" s="107" t="str">
        <f t="shared" si="335"/>
        <v>-</v>
      </c>
      <c r="DG91" s="107" t="str">
        <f t="shared" si="336"/>
        <v>-</v>
      </c>
      <c r="DH91" s="107" t="str">
        <f t="shared" si="337"/>
        <v>-</v>
      </c>
      <c r="DI91" s="107" t="str">
        <f t="shared" si="338"/>
        <v>-</v>
      </c>
      <c r="DJ91" s="107" t="str">
        <f t="shared" si="339"/>
        <v>-</v>
      </c>
      <c r="DK91" s="107" t="str">
        <f t="shared" si="340"/>
        <v>-</v>
      </c>
      <c r="DL91" s="107" t="str">
        <f t="shared" si="341"/>
        <v>-</v>
      </c>
      <c r="DM91" s="108" t="str">
        <f t="shared" si="342"/>
        <v>-</v>
      </c>
      <c r="DO91" s="106" t="str">
        <f t="shared" si="343"/>
        <v>-</v>
      </c>
      <c r="DP91" s="107" t="str">
        <f t="shared" si="344"/>
        <v>-</v>
      </c>
      <c r="DQ91" s="107" t="str">
        <f t="shared" si="345"/>
        <v>-</v>
      </c>
      <c r="DR91" s="107" t="str">
        <f t="shared" si="346"/>
        <v>-</v>
      </c>
      <c r="DS91" s="107" t="str">
        <f t="shared" si="347"/>
        <v>-</v>
      </c>
      <c r="DT91" s="107" t="str">
        <f t="shared" si="348"/>
        <v>-</v>
      </c>
      <c r="DU91" s="107" t="str">
        <f t="shared" si="349"/>
        <v>-</v>
      </c>
      <c r="DV91" s="107" t="str">
        <f t="shared" si="350"/>
        <v>-</v>
      </c>
      <c r="DW91" s="108" t="str">
        <f t="shared" si="351"/>
        <v>-</v>
      </c>
      <c r="DX91" s="109" t="str">
        <f t="shared" si="352"/>
        <v>-</v>
      </c>
      <c r="DY91" s="110" t="str">
        <f t="shared" si="353"/>
        <v>-</v>
      </c>
      <c r="DZ91" s="110" t="str">
        <f t="shared" si="354"/>
        <v>-</v>
      </c>
      <c r="EA91" s="110">
        <f t="shared" si="355"/>
        <v>71.290000000000006</v>
      </c>
      <c r="EB91" s="110" t="str">
        <f t="shared" si="356"/>
        <v>-</v>
      </c>
      <c r="EC91" s="110" t="str">
        <f t="shared" si="357"/>
        <v>-</v>
      </c>
      <c r="ED91" s="110" t="str">
        <f t="shared" si="358"/>
        <v>-</v>
      </c>
      <c r="EE91" s="110" t="str">
        <f t="shared" si="359"/>
        <v>-</v>
      </c>
      <c r="EF91" s="111" t="str">
        <f t="shared" si="360"/>
        <v>-</v>
      </c>
      <c r="EG91" s="109" t="str">
        <f t="shared" si="361"/>
        <v>-</v>
      </c>
      <c r="EH91" s="110" t="str">
        <f t="shared" si="362"/>
        <v>-</v>
      </c>
      <c r="EI91" s="110" t="str">
        <f t="shared" si="363"/>
        <v>-</v>
      </c>
      <c r="EJ91" s="110" t="str">
        <f t="shared" si="364"/>
        <v>-</v>
      </c>
      <c r="EK91" s="110" t="str">
        <f t="shared" si="365"/>
        <v>-</v>
      </c>
      <c r="EL91" s="110" t="str">
        <f t="shared" si="366"/>
        <v>-</v>
      </c>
      <c r="EM91" s="110" t="str">
        <f t="shared" si="367"/>
        <v>-</v>
      </c>
      <c r="EN91" s="110" t="str">
        <f t="shared" si="368"/>
        <v>-</v>
      </c>
      <c r="EO91" s="111" t="str">
        <f t="shared" si="369"/>
        <v>-</v>
      </c>
      <c r="EQ91" s="118">
        <f t="shared" si="370"/>
        <v>70.09</v>
      </c>
      <c r="ER91" s="119" t="str">
        <f t="shared" si="371"/>
        <v>-</v>
      </c>
      <c r="ES91" s="120" t="str">
        <f t="shared" si="372"/>
        <v>-</v>
      </c>
      <c r="ET91" s="90">
        <v>2</v>
      </c>
      <c r="EU91" s="118">
        <f t="shared" si="373"/>
        <v>2</v>
      </c>
      <c r="EV91" s="119" t="str">
        <f t="shared" si="374"/>
        <v>-</v>
      </c>
      <c r="EW91" s="120" t="str">
        <f t="shared" si="375"/>
        <v>-</v>
      </c>
    </row>
    <row r="92" spans="1:153" ht="15.75" thickBot="1" x14ac:dyDescent="0.3">
      <c r="A92" s="41"/>
      <c r="B92" s="171" t="s">
        <v>524</v>
      </c>
      <c r="C92" s="171" t="s">
        <v>525</v>
      </c>
      <c r="D92" s="42">
        <f>VLOOKUP(B92,'BASE DE DATOS'!$B$3:$E$106,2,FALSE)</f>
        <v>34.21</v>
      </c>
      <c r="E92" s="42">
        <f>VLOOKUP(B92,'BASE DE DATOS'!$B$3:$E$106,4,FALSE)</f>
        <v>1.9699999999999989</v>
      </c>
      <c r="F92" s="42">
        <f>VLOOKUP(C92,'BASE DE DATOS'!$B$3:$E$106,2,FALSE)</f>
        <v>33.909999999999997</v>
      </c>
      <c r="G92" s="42">
        <f>VLOOKUP(C92,'BASE DE DATOS'!$B$3:$E$106,4,FALSE)</f>
        <v>1.8999999999999986</v>
      </c>
      <c r="H92" s="43">
        <f t="shared" si="387"/>
        <v>1.9349999999999987</v>
      </c>
      <c r="I92" s="171">
        <v>43.84</v>
      </c>
      <c r="J92" s="44">
        <f t="shared" si="384"/>
        <v>43.84</v>
      </c>
      <c r="K92" s="40">
        <f t="shared" si="385"/>
        <v>42.24</v>
      </c>
      <c r="L92" s="40">
        <f t="shared" si="386"/>
        <v>42.64</v>
      </c>
      <c r="M92" s="44">
        <f t="shared" si="376"/>
        <v>200</v>
      </c>
      <c r="N92" s="40">
        <f t="shared" si="377"/>
        <v>43.84</v>
      </c>
      <c r="O92" s="171" t="s">
        <v>120</v>
      </c>
      <c r="P92" s="19">
        <v>187.6</v>
      </c>
      <c r="Q92" s="171" t="s">
        <v>122</v>
      </c>
      <c r="R92" s="171" t="s">
        <v>133</v>
      </c>
      <c r="S92" s="171" t="s">
        <v>147</v>
      </c>
      <c r="T92" s="171" t="s">
        <v>146</v>
      </c>
      <c r="V92" s="51" t="str">
        <f t="shared" si="388"/>
        <v>-</v>
      </c>
      <c r="W92" s="52" t="str">
        <f t="shared" si="389"/>
        <v>-</v>
      </c>
      <c r="X92" s="52" t="str">
        <f t="shared" si="390"/>
        <v>-</v>
      </c>
      <c r="Y92" s="52" t="str">
        <f t="shared" si="391"/>
        <v>-</v>
      </c>
      <c r="Z92" s="52" t="str">
        <f t="shared" si="392"/>
        <v>-</v>
      </c>
      <c r="AA92" s="52" t="str">
        <f t="shared" si="393"/>
        <v>-</v>
      </c>
      <c r="AB92" s="52">
        <f t="shared" si="394"/>
        <v>42.24</v>
      </c>
      <c r="AC92" s="52" t="str">
        <f t="shared" si="395"/>
        <v>-</v>
      </c>
      <c r="AD92" s="52" t="str">
        <f t="shared" si="396"/>
        <v>-</v>
      </c>
      <c r="AE92" s="52" t="str">
        <f t="shared" si="397"/>
        <v>-</v>
      </c>
      <c r="AF92" s="52" t="str">
        <f t="shared" si="398"/>
        <v>-</v>
      </c>
      <c r="AG92" s="52" t="str">
        <f t="shared" si="399"/>
        <v>-</v>
      </c>
      <c r="AH92" s="52" t="str">
        <f t="shared" si="400"/>
        <v>-</v>
      </c>
      <c r="AI92" s="52" t="str">
        <f t="shared" si="401"/>
        <v>-</v>
      </c>
      <c r="AJ92" s="52" t="str">
        <f t="shared" si="402"/>
        <v>-</v>
      </c>
      <c r="AK92" s="52" t="str">
        <f t="shared" si="403"/>
        <v>-</v>
      </c>
      <c r="AL92" s="52" t="str">
        <f t="shared" si="404"/>
        <v>-</v>
      </c>
      <c r="AM92" s="53" t="str">
        <f t="shared" si="405"/>
        <v>-</v>
      </c>
      <c r="AN92" s="51" t="str">
        <f t="shared" si="406"/>
        <v>-</v>
      </c>
      <c r="AO92" s="52" t="str">
        <f t="shared" si="407"/>
        <v>-</v>
      </c>
      <c r="AP92" s="52" t="str">
        <f t="shared" si="408"/>
        <v>-</v>
      </c>
      <c r="AQ92" s="52" t="str">
        <f t="shared" si="409"/>
        <v>-</v>
      </c>
      <c r="AR92" s="52" t="str">
        <f t="shared" si="410"/>
        <v>-</v>
      </c>
      <c r="AS92" s="52" t="str">
        <f t="shared" si="411"/>
        <v>-</v>
      </c>
      <c r="AT92" s="52" t="str">
        <f t="shared" si="412"/>
        <v>-</v>
      </c>
      <c r="AU92" s="52" t="str">
        <f t="shared" si="413"/>
        <v>-</v>
      </c>
      <c r="AV92" s="52" t="str">
        <f t="shared" si="414"/>
        <v>-</v>
      </c>
      <c r="AW92" s="52" t="str">
        <f t="shared" si="415"/>
        <v>-</v>
      </c>
      <c r="AX92" s="52" t="str">
        <f t="shared" si="416"/>
        <v>-</v>
      </c>
      <c r="AY92" s="52" t="str">
        <f t="shared" si="417"/>
        <v>-</v>
      </c>
      <c r="AZ92" s="52" t="str">
        <f t="shared" si="418"/>
        <v>-</v>
      </c>
      <c r="BA92" s="52" t="str">
        <f t="shared" si="419"/>
        <v>-</v>
      </c>
      <c r="BB92" s="52" t="str">
        <f t="shared" si="420"/>
        <v>-</v>
      </c>
      <c r="BC92" s="52" t="str">
        <f t="shared" si="421"/>
        <v>-</v>
      </c>
      <c r="BD92" s="52" t="str">
        <f t="shared" si="422"/>
        <v>-</v>
      </c>
      <c r="BE92" s="53" t="str">
        <f t="shared" si="423"/>
        <v>-</v>
      </c>
      <c r="BF92" s="51" t="str">
        <f t="shared" si="424"/>
        <v>-</v>
      </c>
      <c r="BG92" s="52" t="str">
        <f t="shared" si="425"/>
        <v>-</v>
      </c>
      <c r="BH92" s="52" t="str">
        <f t="shared" si="426"/>
        <v>-</v>
      </c>
      <c r="BI92" s="52" t="str">
        <f t="shared" si="427"/>
        <v>-</v>
      </c>
      <c r="BJ92" s="52" t="str">
        <f t="shared" si="428"/>
        <v>-</v>
      </c>
      <c r="BK92" s="52" t="str">
        <f t="shared" si="429"/>
        <v>-</v>
      </c>
      <c r="BL92" s="52" t="str">
        <f t="shared" si="430"/>
        <v>-</v>
      </c>
      <c r="BM92" s="52" t="str">
        <f t="shared" si="431"/>
        <v>-</v>
      </c>
      <c r="BN92" s="52" t="str">
        <f t="shared" si="432"/>
        <v>-</v>
      </c>
      <c r="BO92" s="52" t="str">
        <f t="shared" si="433"/>
        <v>-</v>
      </c>
      <c r="BP92" s="52" t="str">
        <f t="shared" si="434"/>
        <v>-</v>
      </c>
      <c r="BQ92" s="52" t="str">
        <f t="shared" si="435"/>
        <v>-</v>
      </c>
      <c r="BR92" s="52" t="str">
        <f t="shared" si="436"/>
        <v>-</v>
      </c>
      <c r="BS92" s="52" t="str">
        <f t="shared" si="437"/>
        <v>-</v>
      </c>
      <c r="BT92" s="52" t="str">
        <f t="shared" si="438"/>
        <v>-</v>
      </c>
      <c r="BU92" s="52" t="str">
        <f t="shared" si="439"/>
        <v>-</v>
      </c>
      <c r="BV92" s="52" t="str">
        <f t="shared" si="440"/>
        <v>-</v>
      </c>
      <c r="BW92" s="53" t="str">
        <f t="shared" si="441"/>
        <v>-</v>
      </c>
      <c r="BX92" s="51" t="str">
        <f t="shared" si="442"/>
        <v>-</v>
      </c>
      <c r="BY92" s="52" t="str">
        <f t="shared" si="443"/>
        <v>-</v>
      </c>
      <c r="BZ92" s="52" t="str">
        <f t="shared" si="444"/>
        <v>-</v>
      </c>
      <c r="CA92" s="52" t="str">
        <f t="shared" si="445"/>
        <v>-</v>
      </c>
      <c r="CB92" s="52" t="str">
        <f t="shared" si="446"/>
        <v>-</v>
      </c>
      <c r="CC92" s="52" t="str">
        <f t="shared" si="447"/>
        <v>-</v>
      </c>
      <c r="CD92" s="52" t="str">
        <f t="shared" si="448"/>
        <v>-</v>
      </c>
      <c r="CE92" s="52" t="str">
        <f t="shared" si="449"/>
        <v>-</v>
      </c>
      <c r="CF92" s="52" t="str">
        <f t="shared" si="450"/>
        <v>-</v>
      </c>
      <c r="CG92" s="52" t="str">
        <f t="shared" si="451"/>
        <v>-</v>
      </c>
      <c r="CH92" s="52" t="str">
        <f t="shared" si="452"/>
        <v>-</v>
      </c>
      <c r="CI92" s="52" t="str">
        <f t="shared" si="453"/>
        <v>-</v>
      </c>
      <c r="CJ92" s="52" t="str">
        <f t="shared" si="454"/>
        <v>-</v>
      </c>
      <c r="CK92" s="52" t="str">
        <f t="shared" si="455"/>
        <v>-</v>
      </c>
      <c r="CL92" s="52" t="str">
        <f t="shared" si="456"/>
        <v>-</v>
      </c>
      <c r="CM92" s="52" t="str">
        <f t="shared" si="457"/>
        <v>-</v>
      </c>
      <c r="CN92" s="52" t="str">
        <f t="shared" si="458"/>
        <v>-</v>
      </c>
      <c r="CO92" s="53" t="str">
        <f t="shared" si="459"/>
        <v>-</v>
      </c>
      <c r="CQ92" s="305" t="str">
        <f t="shared" si="378"/>
        <v>-</v>
      </c>
      <c r="CR92" s="305">
        <f t="shared" si="379"/>
        <v>43.84</v>
      </c>
      <c r="CS92" s="305" t="str">
        <f t="shared" si="380"/>
        <v>-</v>
      </c>
      <c r="CT92" s="305" t="str">
        <f t="shared" si="381"/>
        <v>-</v>
      </c>
      <c r="CU92" s="305" t="str">
        <f t="shared" si="382"/>
        <v>-</v>
      </c>
      <c r="CV92" s="305" t="str">
        <f t="shared" si="383"/>
        <v>-</v>
      </c>
      <c r="CX92" s="51">
        <f t="shared" si="328"/>
        <v>42.64</v>
      </c>
      <c r="CY92" s="52" t="str">
        <f t="shared" si="329"/>
        <v>-</v>
      </c>
      <c r="CZ92" s="53" t="str">
        <f t="shared" si="330"/>
        <v>-</v>
      </c>
      <c r="DA92" s="51" t="str">
        <f t="shared" si="331"/>
        <v>-</v>
      </c>
      <c r="DB92" s="52" t="str">
        <f t="shared" si="332"/>
        <v>-</v>
      </c>
      <c r="DC92" s="53" t="str">
        <f t="shared" si="333"/>
        <v>-</v>
      </c>
      <c r="DD92" s="57"/>
      <c r="DE92" s="106" t="str">
        <f t="shared" si="334"/>
        <v>-</v>
      </c>
      <c r="DF92" s="107" t="str">
        <f t="shared" si="335"/>
        <v>-</v>
      </c>
      <c r="DG92" s="107" t="str">
        <f t="shared" si="336"/>
        <v>-</v>
      </c>
      <c r="DH92" s="107">
        <f t="shared" si="337"/>
        <v>42.64</v>
      </c>
      <c r="DI92" s="107" t="str">
        <f t="shared" si="338"/>
        <v>-</v>
      </c>
      <c r="DJ92" s="107" t="str">
        <f t="shared" si="339"/>
        <v>-</v>
      </c>
      <c r="DK92" s="107" t="str">
        <f t="shared" si="340"/>
        <v>-</v>
      </c>
      <c r="DL92" s="107" t="str">
        <f t="shared" si="341"/>
        <v>-</v>
      </c>
      <c r="DM92" s="108" t="str">
        <f t="shared" si="342"/>
        <v>-</v>
      </c>
      <c r="DO92" s="106" t="str">
        <f t="shared" si="343"/>
        <v>-</v>
      </c>
      <c r="DP92" s="107" t="str">
        <f t="shared" si="344"/>
        <v>-</v>
      </c>
      <c r="DQ92" s="107" t="str">
        <f t="shared" si="345"/>
        <v>-</v>
      </c>
      <c r="DR92" s="107">
        <f t="shared" si="346"/>
        <v>42.64</v>
      </c>
      <c r="DS92" s="107" t="str">
        <f t="shared" si="347"/>
        <v>-</v>
      </c>
      <c r="DT92" s="107" t="str">
        <f t="shared" si="348"/>
        <v>-</v>
      </c>
      <c r="DU92" s="107" t="str">
        <f t="shared" si="349"/>
        <v>-</v>
      </c>
      <c r="DV92" s="107" t="str">
        <f t="shared" si="350"/>
        <v>-</v>
      </c>
      <c r="DW92" s="108" t="str">
        <f t="shared" si="351"/>
        <v>-</v>
      </c>
      <c r="DX92" s="109" t="str">
        <f t="shared" si="352"/>
        <v>-</v>
      </c>
      <c r="DY92" s="110" t="str">
        <f t="shared" si="353"/>
        <v>-</v>
      </c>
      <c r="DZ92" s="110" t="str">
        <f t="shared" si="354"/>
        <v>-</v>
      </c>
      <c r="EA92" s="110" t="str">
        <f t="shared" si="355"/>
        <v>-</v>
      </c>
      <c r="EB92" s="110" t="str">
        <f t="shared" si="356"/>
        <v>-</v>
      </c>
      <c r="EC92" s="110" t="str">
        <f t="shared" si="357"/>
        <v>-</v>
      </c>
      <c r="ED92" s="110" t="str">
        <f t="shared" si="358"/>
        <v>-</v>
      </c>
      <c r="EE92" s="110" t="str">
        <f t="shared" si="359"/>
        <v>-</v>
      </c>
      <c r="EF92" s="111" t="str">
        <f t="shared" si="360"/>
        <v>-</v>
      </c>
      <c r="EG92" s="109" t="str">
        <f t="shared" si="361"/>
        <v>-</v>
      </c>
      <c r="EH92" s="110" t="str">
        <f t="shared" si="362"/>
        <v>-</v>
      </c>
      <c r="EI92" s="110" t="str">
        <f t="shared" si="363"/>
        <v>-</v>
      </c>
      <c r="EJ92" s="110" t="str">
        <f t="shared" si="364"/>
        <v>-</v>
      </c>
      <c r="EK92" s="110" t="str">
        <f t="shared" si="365"/>
        <v>-</v>
      </c>
      <c r="EL92" s="110" t="str">
        <f t="shared" si="366"/>
        <v>-</v>
      </c>
      <c r="EM92" s="110" t="str">
        <f t="shared" si="367"/>
        <v>-</v>
      </c>
      <c r="EN92" s="110" t="str">
        <f t="shared" si="368"/>
        <v>-</v>
      </c>
      <c r="EO92" s="111" t="str">
        <f t="shared" si="369"/>
        <v>-</v>
      </c>
      <c r="EQ92" s="118">
        <f t="shared" si="370"/>
        <v>42.64</v>
      </c>
      <c r="ER92" s="119" t="str">
        <f t="shared" si="371"/>
        <v>-</v>
      </c>
      <c r="ES92" s="120" t="str">
        <f t="shared" si="372"/>
        <v>-</v>
      </c>
      <c r="ET92" s="90">
        <v>2</v>
      </c>
      <c r="EU92" s="118">
        <f t="shared" si="373"/>
        <v>2</v>
      </c>
      <c r="EV92" s="119" t="str">
        <f t="shared" si="374"/>
        <v>-</v>
      </c>
      <c r="EW92" s="120" t="str">
        <f t="shared" si="375"/>
        <v>-</v>
      </c>
    </row>
    <row r="93" spans="1:153" ht="15.75" thickBot="1" x14ac:dyDescent="0.3">
      <c r="A93" s="41"/>
      <c r="B93" s="171" t="s">
        <v>525</v>
      </c>
      <c r="C93" s="171" t="s">
        <v>526</v>
      </c>
      <c r="D93" s="42">
        <f>VLOOKUP(B93,'BASE DE DATOS'!$B$3:$E$106,2,FALSE)</f>
        <v>33.909999999999997</v>
      </c>
      <c r="E93" s="42">
        <f>VLOOKUP(B93,'BASE DE DATOS'!$B$3:$E$106,4,FALSE)</f>
        <v>1.8999999999999986</v>
      </c>
      <c r="F93" s="42">
        <f>VLOOKUP(C93,'BASE DE DATOS'!$B$3:$E$106,2,FALSE)</f>
        <v>33.380000000000003</v>
      </c>
      <c r="G93" s="42">
        <f>VLOOKUP(C93,'BASE DE DATOS'!$B$3:$E$106,4,FALSE)</f>
        <v>1.6700000000000017</v>
      </c>
      <c r="H93" s="43">
        <f t="shared" si="387"/>
        <v>1.7850000000000001</v>
      </c>
      <c r="I93" s="171">
        <v>59.99</v>
      </c>
      <c r="J93" s="44">
        <f t="shared" si="384"/>
        <v>59.99</v>
      </c>
      <c r="K93" s="40">
        <f t="shared" si="385"/>
        <v>58.39</v>
      </c>
      <c r="L93" s="40">
        <f t="shared" si="386"/>
        <v>58.79</v>
      </c>
      <c r="M93" s="44">
        <f t="shared" si="376"/>
        <v>200</v>
      </c>
      <c r="N93" s="40">
        <f t="shared" si="377"/>
        <v>59.99</v>
      </c>
      <c r="O93" s="171" t="s">
        <v>120</v>
      </c>
      <c r="P93" s="19">
        <v>187.6</v>
      </c>
      <c r="Q93" s="171" t="s">
        <v>122</v>
      </c>
      <c r="R93" s="171" t="s">
        <v>133</v>
      </c>
      <c r="S93" s="171" t="s">
        <v>147</v>
      </c>
      <c r="T93" s="171" t="s">
        <v>146</v>
      </c>
      <c r="V93" s="51" t="str">
        <f t="shared" si="388"/>
        <v>-</v>
      </c>
      <c r="W93" s="52" t="str">
        <f t="shared" si="389"/>
        <v>-</v>
      </c>
      <c r="X93" s="52" t="str">
        <f t="shared" si="390"/>
        <v>-</v>
      </c>
      <c r="Y93" s="52" t="str">
        <f t="shared" si="391"/>
        <v>-</v>
      </c>
      <c r="Z93" s="52" t="str">
        <f t="shared" si="392"/>
        <v>-</v>
      </c>
      <c r="AA93" s="52" t="str">
        <f t="shared" si="393"/>
        <v>-</v>
      </c>
      <c r="AB93" s="52">
        <f t="shared" si="394"/>
        <v>58.39</v>
      </c>
      <c r="AC93" s="52" t="str">
        <f t="shared" si="395"/>
        <v>-</v>
      </c>
      <c r="AD93" s="52" t="str">
        <f t="shared" si="396"/>
        <v>-</v>
      </c>
      <c r="AE93" s="52" t="str">
        <f t="shared" si="397"/>
        <v>-</v>
      </c>
      <c r="AF93" s="52" t="str">
        <f t="shared" si="398"/>
        <v>-</v>
      </c>
      <c r="AG93" s="52" t="str">
        <f t="shared" si="399"/>
        <v>-</v>
      </c>
      <c r="AH93" s="52" t="str">
        <f t="shared" si="400"/>
        <v>-</v>
      </c>
      <c r="AI93" s="52" t="str">
        <f t="shared" si="401"/>
        <v>-</v>
      </c>
      <c r="AJ93" s="52" t="str">
        <f t="shared" si="402"/>
        <v>-</v>
      </c>
      <c r="AK93" s="52" t="str">
        <f t="shared" si="403"/>
        <v>-</v>
      </c>
      <c r="AL93" s="52" t="str">
        <f t="shared" si="404"/>
        <v>-</v>
      </c>
      <c r="AM93" s="53" t="str">
        <f t="shared" si="405"/>
        <v>-</v>
      </c>
      <c r="AN93" s="51" t="str">
        <f t="shared" si="406"/>
        <v>-</v>
      </c>
      <c r="AO93" s="52" t="str">
        <f t="shared" si="407"/>
        <v>-</v>
      </c>
      <c r="AP93" s="52" t="str">
        <f t="shared" si="408"/>
        <v>-</v>
      </c>
      <c r="AQ93" s="52" t="str">
        <f t="shared" si="409"/>
        <v>-</v>
      </c>
      <c r="AR93" s="52" t="str">
        <f t="shared" si="410"/>
        <v>-</v>
      </c>
      <c r="AS93" s="52" t="str">
        <f t="shared" si="411"/>
        <v>-</v>
      </c>
      <c r="AT93" s="52" t="str">
        <f t="shared" si="412"/>
        <v>-</v>
      </c>
      <c r="AU93" s="52" t="str">
        <f t="shared" si="413"/>
        <v>-</v>
      </c>
      <c r="AV93" s="52" t="str">
        <f t="shared" si="414"/>
        <v>-</v>
      </c>
      <c r="AW93" s="52" t="str">
        <f t="shared" si="415"/>
        <v>-</v>
      </c>
      <c r="AX93" s="52" t="str">
        <f t="shared" si="416"/>
        <v>-</v>
      </c>
      <c r="AY93" s="52" t="str">
        <f t="shared" si="417"/>
        <v>-</v>
      </c>
      <c r="AZ93" s="52" t="str">
        <f t="shared" si="418"/>
        <v>-</v>
      </c>
      <c r="BA93" s="52" t="str">
        <f t="shared" si="419"/>
        <v>-</v>
      </c>
      <c r="BB93" s="52" t="str">
        <f t="shared" si="420"/>
        <v>-</v>
      </c>
      <c r="BC93" s="52" t="str">
        <f t="shared" si="421"/>
        <v>-</v>
      </c>
      <c r="BD93" s="52" t="str">
        <f t="shared" si="422"/>
        <v>-</v>
      </c>
      <c r="BE93" s="53" t="str">
        <f t="shared" si="423"/>
        <v>-</v>
      </c>
      <c r="BF93" s="51" t="str">
        <f t="shared" si="424"/>
        <v>-</v>
      </c>
      <c r="BG93" s="52" t="str">
        <f t="shared" si="425"/>
        <v>-</v>
      </c>
      <c r="BH93" s="52" t="str">
        <f t="shared" si="426"/>
        <v>-</v>
      </c>
      <c r="BI93" s="52" t="str">
        <f t="shared" si="427"/>
        <v>-</v>
      </c>
      <c r="BJ93" s="52" t="str">
        <f t="shared" si="428"/>
        <v>-</v>
      </c>
      <c r="BK93" s="52" t="str">
        <f t="shared" si="429"/>
        <v>-</v>
      </c>
      <c r="BL93" s="52" t="str">
        <f t="shared" si="430"/>
        <v>-</v>
      </c>
      <c r="BM93" s="52" t="str">
        <f t="shared" si="431"/>
        <v>-</v>
      </c>
      <c r="BN93" s="52" t="str">
        <f t="shared" si="432"/>
        <v>-</v>
      </c>
      <c r="BO93" s="52" t="str">
        <f t="shared" si="433"/>
        <v>-</v>
      </c>
      <c r="BP93" s="52" t="str">
        <f t="shared" si="434"/>
        <v>-</v>
      </c>
      <c r="BQ93" s="52" t="str">
        <f t="shared" si="435"/>
        <v>-</v>
      </c>
      <c r="BR93" s="52" t="str">
        <f t="shared" si="436"/>
        <v>-</v>
      </c>
      <c r="BS93" s="52" t="str">
        <f t="shared" si="437"/>
        <v>-</v>
      </c>
      <c r="BT93" s="52" t="str">
        <f t="shared" si="438"/>
        <v>-</v>
      </c>
      <c r="BU93" s="52" t="str">
        <f t="shared" si="439"/>
        <v>-</v>
      </c>
      <c r="BV93" s="52" t="str">
        <f t="shared" si="440"/>
        <v>-</v>
      </c>
      <c r="BW93" s="53" t="str">
        <f t="shared" si="441"/>
        <v>-</v>
      </c>
      <c r="BX93" s="51" t="str">
        <f t="shared" si="442"/>
        <v>-</v>
      </c>
      <c r="BY93" s="52" t="str">
        <f t="shared" si="443"/>
        <v>-</v>
      </c>
      <c r="BZ93" s="52" t="str">
        <f t="shared" si="444"/>
        <v>-</v>
      </c>
      <c r="CA93" s="52" t="str">
        <f t="shared" si="445"/>
        <v>-</v>
      </c>
      <c r="CB93" s="52" t="str">
        <f t="shared" si="446"/>
        <v>-</v>
      </c>
      <c r="CC93" s="52" t="str">
        <f t="shared" si="447"/>
        <v>-</v>
      </c>
      <c r="CD93" s="52" t="str">
        <f t="shared" si="448"/>
        <v>-</v>
      </c>
      <c r="CE93" s="52" t="str">
        <f t="shared" si="449"/>
        <v>-</v>
      </c>
      <c r="CF93" s="52" t="str">
        <f t="shared" si="450"/>
        <v>-</v>
      </c>
      <c r="CG93" s="52" t="str">
        <f t="shared" si="451"/>
        <v>-</v>
      </c>
      <c r="CH93" s="52" t="str">
        <f t="shared" si="452"/>
        <v>-</v>
      </c>
      <c r="CI93" s="52" t="str">
        <f t="shared" si="453"/>
        <v>-</v>
      </c>
      <c r="CJ93" s="52" t="str">
        <f t="shared" si="454"/>
        <v>-</v>
      </c>
      <c r="CK93" s="52" t="str">
        <f t="shared" si="455"/>
        <v>-</v>
      </c>
      <c r="CL93" s="52" t="str">
        <f t="shared" si="456"/>
        <v>-</v>
      </c>
      <c r="CM93" s="52" t="str">
        <f t="shared" si="457"/>
        <v>-</v>
      </c>
      <c r="CN93" s="52" t="str">
        <f t="shared" si="458"/>
        <v>-</v>
      </c>
      <c r="CO93" s="53" t="str">
        <f t="shared" si="459"/>
        <v>-</v>
      </c>
      <c r="CQ93" s="305" t="str">
        <f t="shared" si="378"/>
        <v>-</v>
      </c>
      <c r="CR93" s="305">
        <f t="shared" si="379"/>
        <v>59.99</v>
      </c>
      <c r="CS93" s="305" t="str">
        <f t="shared" si="380"/>
        <v>-</v>
      </c>
      <c r="CT93" s="305" t="str">
        <f t="shared" si="381"/>
        <v>-</v>
      </c>
      <c r="CU93" s="305" t="str">
        <f t="shared" si="382"/>
        <v>-</v>
      </c>
      <c r="CV93" s="305" t="str">
        <f t="shared" si="383"/>
        <v>-</v>
      </c>
      <c r="CX93" s="51">
        <f t="shared" si="328"/>
        <v>58.79</v>
      </c>
      <c r="CY93" s="52" t="str">
        <f t="shared" si="329"/>
        <v>-</v>
      </c>
      <c r="CZ93" s="53" t="str">
        <f t="shared" si="330"/>
        <v>-</v>
      </c>
      <c r="DA93" s="51" t="str">
        <f t="shared" si="331"/>
        <v>-</v>
      </c>
      <c r="DB93" s="52" t="str">
        <f t="shared" si="332"/>
        <v>-</v>
      </c>
      <c r="DC93" s="53" t="str">
        <f t="shared" si="333"/>
        <v>-</v>
      </c>
      <c r="DD93" s="57"/>
      <c r="DE93" s="106" t="str">
        <f t="shared" si="334"/>
        <v>-</v>
      </c>
      <c r="DF93" s="107" t="str">
        <f t="shared" si="335"/>
        <v>-</v>
      </c>
      <c r="DG93" s="107" t="str">
        <f t="shared" si="336"/>
        <v>-</v>
      </c>
      <c r="DH93" s="107">
        <f t="shared" si="337"/>
        <v>58.79</v>
      </c>
      <c r="DI93" s="107" t="str">
        <f t="shared" si="338"/>
        <v>-</v>
      </c>
      <c r="DJ93" s="107" t="str">
        <f t="shared" si="339"/>
        <v>-</v>
      </c>
      <c r="DK93" s="107" t="str">
        <f t="shared" si="340"/>
        <v>-</v>
      </c>
      <c r="DL93" s="107" t="str">
        <f t="shared" si="341"/>
        <v>-</v>
      </c>
      <c r="DM93" s="108" t="str">
        <f t="shared" si="342"/>
        <v>-</v>
      </c>
      <c r="DO93" s="106" t="str">
        <f t="shared" si="343"/>
        <v>-</v>
      </c>
      <c r="DP93" s="107" t="str">
        <f t="shared" si="344"/>
        <v>-</v>
      </c>
      <c r="DQ93" s="107" t="str">
        <f t="shared" si="345"/>
        <v>-</v>
      </c>
      <c r="DR93" s="107">
        <f t="shared" si="346"/>
        <v>58.79</v>
      </c>
      <c r="DS93" s="107" t="str">
        <f t="shared" si="347"/>
        <v>-</v>
      </c>
      <c r="DT93" s="107" t="str">
        <f t="shared" si="348"/>
        <v>-</v>
      </c>
      <c r="DU93" s="107" t="str">
        <f t="shared" si="349"/>
        <v>-</v>
      </c>
      <c r="DV93" s="107" t="str">
        <f t="shared" si="350"/>
        <v>-</v>
      </c>
      <c r="DW93" s="108" t="str">
        <f t="shared" si="351"/>
        <v>-</v>
      </c>
      <c r="DX93" s="109" t="str">
        <f t="shared" si="352"/>
        <v>-</v>
      </c>
      <c r="DY93" s="110" t="str">
        <f t="shared" si="353"/>
        <v>-</v>
      </c>
      <c r="DZ93" s="110" t="str">
        <f t="shared" si="354"/>
        <v>-</v>
      </c>
      <c r="EA93" s="110" t="str">
        <f t="shared" si="355"/>
        <v>-</v>
      </c>
      <c r="EB93" s="110" t="str">
        <f t="shared" si="356"/>
        <v>-</v>
      </c>
      <c r="EC93" s="110" t="str">
        <f t="shared" si="357"/>
        <v>-</v>
      </c>
      <c r="ED93" s="110" t="str">
        <f t="shared" si="358"/>
        <v>-</v>
      </c>
      <c r="EE93" s="110" t="str">
        <f t="shared" si="359"/>
        <v>-</v>
      </c>
      <c r="EF93" s="111" t="str">
        <f t="shared" si="360"/>
        <v>-</v>
      </c>
      <c r="EG93" s="109" t="str">
        <f t="shared" si="361"/>
        <v>-</v>
      </c>
      <c r="EH93" s="110" t="str">
        <f t="shared" si="362"/>
        <v>-</v>
      </c>
      <c r="EI93" s="110" t="str">
        <f t="shared" si="363"/>
        <v>-</v>
      </c>
      <c r="EJ93" s="110" t="str">
        <f t="shared" si="364"/>
        <v>-</v>
      </c>
      <c r="EK93" s="110" t="str">
        <f t="shared" si="365"/>
        <v>-</v>
      </c>
      <c r="EL93" s="110" t="str">
        <f t="shared" si="366"/>
        <v>-</v>
      </c>
      <c r="EM93" s="110" t="str">
        <f t="shared" si="367"/>
        <v>-</v>
      </c>
      <c r="EN93" s="110" t="str">
        <f t="shared" si="368"/>
        <v>-</v>
      </c>
      <c r="EO93" s="111" t="str">
        <f t="shared" si="369"/>
        <v>-</v>
      </c>
      <c r="EQ93" s="118">
        <f t="shared" si="370"/>
        <v>58.79</v>
      </c>
      <c r="ER93" s="119" t="str">
        <f t="shared" si="371"/>
        <v>-</v>
      </c>
      <c r="ES93" s="120" t="str">
        <f t="shared" si="372"/>
        <v>-</v>
      </c>
      <c r="ET93" s="90">
        <v>2</v>
      </c>
      <c r="EU93" s="118">
        <f t="shared" si="373"/>
        <v>2</v>
      </c>
      <c r="EV93" s="119" t="str">
        <f t="shared" si="374"/>
        <v>-</v>
      </c>
      <c r="EW93" s="120" t="str">
        <f t="shared" si="375"/>
        <v>-</v>
      </c>
    </row>
    <row r="94" spans="1:153" ht="15.75" thickBot="1" x14ac:dyDescent="0.3">
      <c r="A94" s="41"/>
      <c r="B94" s="171" t="s">
        <v>526</v>
      </c>
      <c r="C94" s="171" t="s">
        <v>501</v>
      </c>
      <c r="D94" s="38">
        <f>VLOOKUP(B94,'BASE DE DATOS'!$B$3:$E$106,2,FALSE)</f>
        <v>33.380000000000003</v>
      </c>
      <c r="E94" s="38">
        <f>VLOOKUP(B94,'BASE DE DATOS'!$B$3:$E$106,4,FALSE)</f>
        <v>1.6700000000000017</v>
      </c>
      <c r="F94" s="38">
        <f>VLOOKUP(C94,'BASE DE DATOS'!$B$3:$E$106,2,FALSE)</f>
        <v>32.979999999999997</v>
      </c>
      <c r="G94" s="38">
        <f>VLOOKUP(C94,'BASE DE DATOS'!$B$3:$E$106,4,FALSE)</f>
        <v>1.639999999999997</v>
      </c>
      <c r="H94" s="39">
        <f t="shared" si="387"/>
        <v>1.6549999999999994</v>
      </c>
      <c r="I94" s="171">
        <v>45.32</v>
      </c>
      <c r="J94" s="44">
        <f t="shared" si="384"/>
        <v>45.32</v>
      </c>
      <c r="K94" s="40">
        <f t="shared" si="385"/>
        <v>43.72</v>
      </c>
      <c r="L94" s="40">
        <f t="shared" si="386"/>
        <v>44.12</v>
      </c>
      <c r="M94" s="44">
        <f t="shared" si="376"/>
        <v>200</v>
      </c>
      <c r="N94" s="40">
        <f t="shared" si="377"/>
        <v>45.32</v>
      </c>
      <c r="O94" s="171" t="s">
        <v>120</v>
      </c>
      <c r="P94" s="19">
        <v>187.6</v>
      </c>
      <c r="Q94" s="171" t="s">
        <v>122</v>
      </c>
      <c r="R94" s="171" t="s">
        <v>133</v>
      </c>
      <c r="S94" s="171" t="s">
        <v>147</v>
      </c>
      <c r="T94" s="171" t="s">
        <v>146</v>
      </c>
      <c r="V94" s="51" t="str">
        <f t="shared" si="388"/>
        <v>-</v>
      </c>
      <c r="W94" s="52" t="str">
        <f t="shared" si="389"/>
        <v>-</v>
      </c>
      <c r="X94" s="52" t="str">
        <f t="shared" si="390"/>
        <v>-</v>
      </c>
      <c r="Y94" s="52" t="str">
        <f t="shared" si="391"/>
        <v>-</v>
      </c>
      <c r="Z94" s="52">
        <f t="shared" si="392"/>
        <v>43.72</v>
      </c>
      <c r="AA94" s="52" t="str">
        <f t="shared" si="393"/>
        <v>-</v>
      </c>
      <c r="AB94" s="52" t="str">
        <f t="shared" si="394"/>
        <v>-</v>
      </c>
      <c r="AC94" s="52" t="str">
        <f t="shared" si="395"/>
        <v>-</v>
      </c>
      <c r="AD94" s="52" t="str">
        <f t="shared" si="396"/>
        <v>-</v>
      </c>
      <c r="AE94" s="52" t="str">
        <f t="shared" si="397"/>
        <v>-</v>
      </c>
      <c r="AF94" s="52" t="str">
        <f t="shared" si="398"/>
        <v>-</v>
      </c>
      <c r="AG94" s="52" t="str">
        <f t="shared" si="399"/>
        <v>-</v>
      </c>
      <c r="AH94" s="52" t="str">
        <f t="shared" si="400"/>
        <v>-</v>
      </c>
      <c r="AI94" s="52" t="str">
        <f t="shared" si="401"/>
        <v>-</v>
      </c>
      <c r="AJ94" s="52" t="str">
        <f t="shared" si="402"/>
        <v>-</v>
      </c>
      <c r="AK94" s="52" t="str">
        <f t="shared" si="403"/>
        <v>-</v>
      </c>
      <c r="AL94" s="52" t="str">
        <f t="shared" si="404"/>
        <v>-</v>
      </c>
      <c r="AM94" s="53" t="str">
        <f t="shared" si="405"/>
        <v>-</v>
      </c>
      <c r="AN94" s="51" t="str">
        <f t="shared" si="406"/>
        <v>-</v>
      </c>
      <c r="AO94" s="52" t="str">
        <f t="shared" si="407"/>
        <v>-</v>
      </c>
      <c r="AP94" s="52" t="str">
        <f t="shared" si="408"/>
        <v>-</v>
      </c>
      <c r="AQ94" s="52" t="str">
        <f t="shared" si="409"/>
        <v>-</v>
      </c>
      <c r="AR94" s="52" t="str">
        <f t="shared" si="410"/>
        <v>-</v>
      </c>
      <c r="AS94" s="52" t="str">
        <f t="shared" si="411"/>
        <v>-</v>
      </c>
      <c r="AT94" s="52" t="str">
        <f t="shared" si="412"/>
        <v>-</v>
      </c>
      <c r="AU94" s="52" t="str">
        <f t="shared" si="413"/>
        <v>-</v>
      </c>
      <c r="AV94" s="52" t="str">
        <f t="shared" si="414"/>
        <v>-</v>
      </c>
      <c r="AW94" s="52" t="str">
        <f t="shared" si="415"/>
        <v>-</v>
      </c>
      <c r="AX94" s="52" t="str">
        <f t="shared" si="416"/>
        <v>-</v>
      </c>
      <c r="AY94" s="52" t="str">
        <f t="shared" si="417"/>
        <v>-</v>
      </c>
      <c r="AZ94" s="52" t="str">
        <f t="shared" si="418"/>
        <v>-</v>
      </c>
      <c r="BA94" s="52" t="str">
        <f t="shared" si="419"/>
        <v>-</v>
      </c>
      <c r="BB94" s="52" t="str">
        <f t="shared" si="420"/>
        <v>-</v>
      </c>
      <c r="BC94" s="52" t="str">
        <f t="shared" si="421"/>
        <v>-</v>
      </c>
      <c r="BD94" s="52" t="str">
        <f t="shared" si="422"/>
        <v>-</v>
      </c>
      <c r="BE94" s="53" t="str">
        <f t="shared" si="423"/>
        <v>-</v>
      </c>
      <c r="BF94" s="51" t="str">
        <f t="shared" si="424"/>
        <v>-</v>
      </c>
      <c r="BG94" s="52" t="str">
        <f t="shared" si="425"/>
        <v>-</v>
      </c>
      <c r="BH94" s="52" t="str">
        <f t="shared" si="426"/>
        <v>-</v>
      </c>
      <c r="BI94" s="52" t="str">
        <f t="shared" si="427"/>
        <v>-</v>
      </c>
      <c r="BJ94" s="52" t="str">
        <f t="shared" si="428"/>
        <v>-</v>
      </c>
      <c r="BK94" s="52" t="str">
        <f t="shared" si="429"/>
        <v>-</v>
      </c>
      <c r="BL94" s="52" t="str">
        <f t="shared" si="430"/>
        <v>-</v>
      </c>
      <c r="BM94" s="52" t="str">
        <f t="shared" si="431"/>
        <v>-</v>
      </c>
      <c r="BN94" s="52" t="str">
        <f t="shared" si="432"/>
        <v>-</v>
      </c>
      <c r="BO94" s="52" t="str">
        <f t="shared" si="433"/>
        <v>-</v>
      </c>
      <c r="BP94" s="52" t="str">
        <f t="shared" si="434"/>
        <v>-</v>
      </c>
      <c r="BQ94" s="52" t="str">
        <f t="shared" si="435"/>
        <v>-</v>
      </c>
      <c r="BR94" s="52" t="str">
        <f t="shared" si="436"/>
        <v>-</v>
      </c>
      <c r="BS94" s="52" t="str">
        <f t="shared" si="437"/>
        <v>-</v>
      </c>
      <c r="BT94" s="52" t="str">
        <f t="shared" si="438"/>
        <v>-</v>
      </c>
      <c r="BU94" s="52" t="str">
        <f t="shared" si="439"/>
        <v>-</v>
      </c>
      <c r="BV94" s="52" t="str">
        <f t="shared" si="440"/>
        <v>-</v>
      </c>
      <c r="BW94" s="53" t="str">
        <f t="shared" si="441"/>
        <v>-</v>
      </c>
      <c r="BX94" s="51" t="str">
        <f t="shared" si="442"/>
        <v>-</v>
      </c>
      <c r="BY94" s="52" t="str">
        <f t="shared" si="443"/>
        <v>-</v>
      </c>
      <c r="BZ94" s="52" t="str">
        <f t="shared" si="444"/>
        <v>-</v>
      </c>
      <c r="CA94" s="52" t="str">
        <f t="shared" si="445"/>
        <v>-</v>
      </c>
      <c r="CB94" s="52" t="str">
        <f t="shared" si="446"/>
        <v>-</v>
      </c>
      <c r="CC94" s="52" t="str">
        <f t="shared" si="447"/>
        <v>-</v>
      </c>
      <c r="CD94" s="52" t="str">
        <f t="shared" si="448"/>
        <v>-</v>
      </c>
      <c r="CE94" s="52" t="str">
        <f t="shared" si="449"/>
        <v>-</v>
      </c>
      <c r="CF94" s="52" t="str">
        <f t="shared" si="450"/>
        <v>-</v>
      </c>
      <c r="CG94" s="52" t="str">
        <f t="shared" si="451"/>
        <v>-</v>
      </c>
      <c r="CH94" s="52" t="str">
        <f t="shared" si="452"/>
        <v>-</v>
      </c>
      <c r="CI94" s="52" t="str">
        <f t="shared" si="453"/>
        <v>-</v>
      </c>
      <c r="CJ94" s="52" t="str">
        <f t="shared" si="454"/>
        <v>-</v>
      </c>
      <c r="CK94" s="52" t="str">
        <f t="shared" si="455"/>
        <v>-</v>
      </c>
      <c r="CL94" s="52" t="str">
        <f t="shared" si="456"/>
        <v>-</v>
      </c>
      <c r="CM94" s="52" t="str">
        <f t="shared" si="457"/>
        <v>-</v>
      </c>
      <c r="CN94" s="52" t="str">
        <f t="shared" si="458"/>
        <v>-</v>
      </c>
      <c r="CO94" s="53" t="str">
        <f t="shared" si="459"/>
        <v>-</v>
      </c>
      <c r="CQ94" s="306" t="str">
        <f t="shared" si="378"/>
        <v>-</v>
      </c>
      <c r="CR94" s="306">
        <f t="shared" si="379"/>
        <v>45.32</v>
      </c>
      <c r="CS94" s="306" t="str">
        <f t="shared" si="380"/>
        <v>-</v>
      </c>
      <c r="CT94" s="306" t="str">
        <f t="shared" si="381"/>
        <v>-</v>
      </c>
      <c r="CU94" s="306" t="str">
        <f t="shared" si="382"/>
        <v>-</v>
      </c>
      <c r="CV94" s="306" t="str">
        <f t="shared" si="383"/>
        <v>-</v>
      </c>
      <c r="CX94" s="51">
        <f t="shared" si="328"/>
        <v>44.12</v>
      </c>
      <c r="CY94" s="52" t="str">
        <f t="shared" si="329"/>
        <v>-</v>
      </c>
      <c r="CZ94" s="53" t="str">
        <f t="shared" si="330"/>
        <v>-</v>
      </c>
      <c r="DA94" s="51" t="str">
        <f t="shared" si="331"/>
        <v>-</v>
      </c>
      <c r="DB94" s="52" t="str">
        <f t="shared" si="332"/>
        <v>-</v>
      </c>
      <c r="DC94" s="53" t="str">
        <f t="shared" si="333"/>
        <v>-</v>
      </c>
      <c r="DD94" s="57"/>
      <c r="DE94" s="106" t="str">
        <f t="shared" si="334"/>
        <v>-</v>
      </c>
      <c r="DF94" s="107" t="str">
        <f t="shared" si="335"/>
        <v>-</v>
      </c>
      <c r="DG94" s="107" t="str">
        <f t="shared" si="336"/>
        <v>-</v>
      </c>
      <c r="DH94" s="107">
        <f t="shared" si="337"/>
        <v>44.12</v>
      </c>
      <c r="DI94" s="107" t="str">
        <f t="shared" si="338"/>
        <v>-</v>
      </c>
      <c r="DJ94" s="107" t="str">
        <f t="shared" si="339"/>
        <v>-</v>
      </c>
      <c r="DK94" s="107" t="str">
        <f t="shared" si="340"/>
        <v>-</v>
      </c>
      <c r="DL94" s="107" t="str">
        <f t="shared" si="341"/>
        <v>-</v>
      </c>
      <c r="DM94" s="108" t="str">
        <f t="shared" si="342"/>
        <v>-</v>
      </c>
      <c r="DO94" s="106" t="str">
        <f t="shared" si="343"/>
        <v>-</v>
      </c>
      <c r="DP94" s="107" t="str">
        <f t="shared" si="344"/>
        <v>-</v>
      </c>
      <c r="DQ94" s="107" t="str">
        <f t="shared" si="345"/>
        <v>-</v>
      </c>
      <c r="DR94" s="107">
        <f t="shared" si="346"/>
        <v>44.12</v>
      </c>
      <c r="DS94" s="107" t="str">
        <f t="shared" si="347"/>
        <v>-</v>
      </c>
      <c r="DT94" s="107" t="str">
        <f t="shared" si="348"/>
        <v>-</v>
      </c>
      <c r="DU94" s="107" t="str">
        <f t="shared" si="349"/>
        <v>-</v>
      </c>
      <c r="DV94" s="107" t="str">
        <f t="shared" si="350"/>
        <v>-</v>
      </c>
      <c r="DW94" s="108" t="str">
        <f t="shared" si="351"/>
        <v>-</v>
      </c>
      <c r="DX94" s="109" t="str">
        <f t="shared" si="352"/>
        <v>-</v>
      </c>
      <c r="DY94" s="110" t="str">
        <f t="shared" si="353"/>
        <v>-</v>
      </c>
      <c r="DZ94" s="110" t="str">
        <f t="shared" si="354"/>
        <v>-</v>
      </c>
      <c r="EA94" s="110" t="str">
        <f t="shared" si="355"/>
        <v>-</v>
      </c>
      <c r="EB94" s="110" t="str">
        <f t="shared" si="356"/>
        <v>-</v>
      </c>
      <c r="EC94" s="110" t="str">
        <f t="shared" si="357"/>
        <v>-</v>
      </c>
      <c r="ED94" s="110" t="str">
        <f t="shared" si="358"/>
        <v>-</v>
      </c>
      <c r="EE94" s="110" t="str">
        <f t="shared" si="359"/>
        <v>-</v>
      </c>
      <c r="EF94" s="111" t="str">
        <f t="shared" si="360"/>
        <v>-</v>
      </c>
      <c r="EG94" s="109" t="str">
        <f t="shared" si="361"/>
        <v>-</v>
      </c>
      <c r="EH94" s="110" t="str">
        <f t="shared" si="362"/>
        <v>-</v>
      </c>
      <c r="EI94" s="110" t="str">
        <f t="shared" si="363"/>
        <v>-</v>
      </c>
      <c r="EJ94" s="110" t="str">
        <f t="shared" si="364"/>
        <v>-</v>
      </c>
      <c r="EK94" s="110" t="str">
        <f t="shared" si="365"/>
        <v>-</v>
      </c>
      <c r="EL94" s="110" t="str">
        <f t="shared" si="366"/>
        <v>-</v>
      </c>
      <c r="EM94" s="110" t="str">
        <f t="shared" si="367"/>
        <v>-</v>
      </c>
      <c r="EN94" s="110" t="str">
        <f t="shared" si="368"/>
        <v>-</v>
      </c>
      <c r="EO94" s="111" t="str">
        <f t="shared" si="369"/>
        <v>-</v>
      </c>
      <c r="EQ94" s="118">
        <f t="shared" si="370"/>
        <v>44.12</v>
      </c>
      <c r="ER94" s="119" t="str">
        <f t="shared" si="371"/>
        <v>-</v>
      </c>
      <c r="ES94" s="120" t="str">
        <f t="shared" si="372"/>
        <v>-</v>
      </c>
      <c r="ET94" s="90">
        <v>2</v>
      </c>
      <c r="EU94" s="118">
        <f t="shared" si="373"/>
        <v>2</v>
      </c>
      <c r="EV94" s="119" t="str">
        <f t="shared" si="374"/>
        <v>-</v>
      </c>
      <c r="EW94" s="120" t="str">
        <f t="shared" si="375"/>
        <v>-</v>
      </c>
    </row>
    <row r="95" spans="1:153" s="47" customFormat="1" ht="15.75" thickBot="1" x14ac:dyDescent="0.3">
      <c r="H95" s="47" t="s">
        <v>20</v>
      </c>
      <c r="I95" s="47">
        <f>SUM(I6:I94)</f>
        <v>3832.369999999999</v>
      </c>
      <c r="J95" s="47">
        <f>SUM(J6:J94)</f>
        <v>3832.639999999999</v>
      </c>
      <c r="K95" s="47">
        <f>SUM(K6:K94)</f>
        <v>3690.53</v>
      </c>
      <c r="L95" s="47">
        <f>SUM(L6:L94)</f>
        <v>3726.1000000000004</v>
      </c>
      <c r="N95" s="47">
        <f t="shared" ref="N95" si="460">SUM(N6:N94)</f>
        <v>3832.4899999999984</v>
      </c>
      <c r="V95" s="65">
        <f t="shared" ref="V95:BA95" si="461">SUM(V6:V94)</f>
        <v>0</v>
      </c>
      <c r="W95" s="66">
        <f t="shared" si="461"/>
        <v>30.4</v>
      </c>
      <c r="X95" s="66">
        <f t="shared" si="461"/>
        <v>48.11</v>
      </c>
      <c r="Y95" s="66">
        <f t="shared" si="461"/>
        <v>159.28</v>
      </c>
      <c r="Z95" s="66">
        <f t="shared" si="461"/>
        <v>199.7</v>
      </c>
      <c r="AA95" s="66">
        <f t="shared" si="461"/>
        <v>256.3</v>
      </c>
      <c r="AB95" s="66">
        <f t="shared" si="461"/>
        <v>400.40999999999997</v>
      </c>
      <c r="AC95" s="66">
        <f t="shared" si="461"/>
        <v>344.01</v>
      </c>
      <c r="AD95" s="66">
        <f t="shared" si="461"/>
        <v>21.28</v>
      </c>
      <c r="AE95" s="66">
        <f t="shared" si="461"/>
        <v>79.709999999999994</v>
      </c>
      <c r="AF95" s="66">
        <f t="shared" si="461"/>
        <v>0</v>
      </c>
      <c r="AG95" s="66">
        <f t="shared" si="461"/>
        <v>0</v>
      </c>
      <c r="AH95" s="66">
        <f t="shared" si="461"/>
        <v>0</v>
      </c>
      <c r="AI95" s="66">
        <f t="shared" si="461"/>
        <v>0</v>
      </c>
      <c r="AJ95" s="66">
        <f t="shared" si="461"/>
        <v>0</v>
      </c>
      <c r="AK95" s="66">
        <f t="shared" si="461"/>
        <v>0</v>
      </c>
      <c r="AL95" s="66">
        <f t="shared" si="461"/>
        <v>0</v>
      </c>
      <c r="AM95" s="67">
        <f t="shared" si="461"/>
        <v>0</v>
      </c>
      <c r="AN95" s="65">
        <f t="shared" si="461"/>
        <v>0</v>
      </c>
      <c r="AO95" s="66">
        <f t="shared" si="461"/>
        <v>0</v>
      </c>
      <c r="AP95" s="66">
        <f t="shared" si="461"/>
        <v>0</v>
      </c>
      <c r="AQ95" s="66">
        <f t="shared" si="461"/>
        <v>0</v>
      </c>
      <c r="AR95" s="66">
        <f t="shared" si="461"/>
        <v>0</v>
      </c>
      <c r="AS95" s="66">
        <f t="shared" si="461"/>
        <v>0</v>
      </c>
      <c r="AT95" s="66">
        <f t="shared" si="461"/>
        <v>0</v>
      </c>
      <c r="AU95" s="66">
        <f t="shared" si="461"/>
        <v>0</v>
      </c>
      <c r="AV95" s="66">
        <f t="shared" si="461"/>
        <v>0</v>
      </c>
      <c r="AW95" s="66">
        <f t="shared" si="461"/>
        <v>47.31</v>
      </c>
      <c r="AX95" s="66">
        <f t="shared" si="461"/>
        <v>0</v>
      </c>
      <c r="AY95" s="66">
        <f t="shared" si="461"/>
        <v>54.63</v>
      </c>
      <c r="AZ95" s="66">
        <f t="shared" si="461"/>
        <v>0</v>
      </c>
      <c r="BA95" s="66">
        <f t="shared" si="461"/>
        <v>0</v>
      </c>
      <c r="BB95" s="66">
        <f t="shared" ref="BB95:CG95" si="462">SUM(BB6:BB94)</f>
        <v>0</v>
      </c>
      <c r="BC95" s="66">
        <f t="shared" si="462"/>
        <v>0</v>
      </c>
      <c r="BD95" s="66">
        <f t="shared" si="462"/>
        <v>0</v>
      </c>
      <c r="BE95" s="67">
        <f t="shared" si="462"/>
        <v>0</v>
      </c>
      <c r="BF95" s="65">
        <f t="shared" si="462"/>
        <v>0</v>
      </c>
      <c r="BG95" s="66">
        <f t="shared" si="462"/>
        <v>0</v>
      </c>
      <c r="BH95" s="66">
        <f t="shared" si="462"/>
        <v>277.59999999999997</v>
      </c>
      <c r="BI95" s="66">
        <f t="shared" si="462"/>
        <v>47.86</v>
      </c>
      <c r="BJ95" s="66">
        <f t="shared" si="462"/>
        <v>257.18</v>
      </c>
      <c r="BK95" s="66">
        <f t="shared" si="462"/>
        <v>161.85999999999999</v>
      </c>
      <c r="BL95" s="66">
        <f t="shared" si="462"/>
        <v>258.53000000000003</v>
      </c>
      <c r="BM95" s="66">
        <f t="shared" si="462"/>
        <v>241.12</v>
      </c>
      <c r="BN95" s="66">
        <f t="shared" si="462"/>
        <v>254.60000000000002</v>
      </c>
      <c r="BO95" s="66">
        <f t="shared" si="462"/>
        <v>305.02</v>
      </c>
      <c r="BP95" s="66">
        <f t="shared" si="462"/>
        <v>0</v>
      </c>
      <c r="BQ95" s="66">
        <f t="shared" si="462"/>
        <v>89.490000000000009</v>
      </c>
      <c r="BR95" s="66">
        <f t="shared" si="462"/>
        <v>0</v>
      </c>
      <c r="BS95" s="66">
        <f t="shared" si="462"/>
        <v>0</v>
      </c>
      <c r="BT95" s="66">
        <f t="shared" si="462"/>
        <v>0</v>
      </c>
      <c r="BU95" s="66">
        <f t="shared" si="462"/>
        <v>0</v>
      </c>
      <c r="BV95" s="66">
        <f t="shared" si="462"/>
        <v>0</v>
      </c>
      <c r="BW95" s="67">
        <f t="shared" si="462"/>
        <v>0</v>
      </c>
      <c r="BX95" s="65">
        <f t="shared" si="462"/>
        <v>0</v>
      </c>
      <c r="BY95" s="66">
        <f t="shared" si="462"/>
        <v>0</v>
      </c>
      <c r="BZ95" s="66">
        <f t="shared" si="462"/>
        <v>0</v>
      </c>
      <c r="CA95" s="66">
        <f t="shared" si="462"/>
        <v>0</v>
      </c>
      <c r="CB95" s="66">
        <f t="shared" si="462"/>
        <v>0</v>
      </c>
      <c r="CC95" s="66">
        <f t="shared" si="462"/>
        <v>0</v>
      </c>
      <c r="CD95" s="66">
        <f t="shared" si="462"/>
        <v>0</v>
      </c>
      <c r="CE95" s="66">
        <f t="shared" si="462"/>
        <v>0</v>
      </c>
      <c r="CF95" s="66">
        <f t="shared" si="462"/>
        <v>0</v>
      </c>
      <c r="CG95" s="66">
        <f t="shared" si="462"/>
        <v>34.31</v>
      </c>
      <c r="CH95" s="66">
        <f t="shared" ref="CH95:CO95" si="463">SUM(CH6:CH94)</f>
        <v>0</v>
      </c>
      <c r="CI95" s="66">
        <f t="shared" si="463"/>
        <v>0</v>
      </c>
      <c r="CJ95" s="66">
        <f t="shared" si="463"/>
        <v>0</v>
      </c>
      <c r="CK95" s="66">
        <f t="shared" si="463"/>
        <v>0</v>
      </c>
      <c r="CL95" s="66">
        <f t="shared" si="463"/>
        <v>0</v>
      </c>
      <c r="CM95" s="66">
        <f t="shared" si="463"/>
        <v>0</v>
      </c>
      <c r="CN95" s="66">
        <f t="shared" si="463"/>
        <v>0</v>
      </c>
      <c r="CO95" s="67">
        <f t="shared" si="463"/>
        <v>0</v>
      </c>
      <c r="CQ95" s="82">
        <f t="shared" ref="CQ95:CV95" si="464">SUM(CQ6:CQ94)</f>
        <v>0</v>
      </c>
      <c r="CR95" s="67">
        <f t="shared" si="464"/>
        <v>1819.6100000000004</v>
      </c>
      <c r="CS95" s="67">
        <f t="shared" si="464"/>
        <v>0</v>
      </c>
      <c r="CT95" s="67">
        <f t="shared" si="464"/>
        <v>1773.1999999999998</v>
      </c>
      <c r="CU95" s="67">
        <f t="shared" si="464"/>
        <v>239.68</v>
      </c>
      <c r="CV95" s="67">
        <f t="shared" si="464"/>
        <v>0</v>
      </c>
      <c r="CX95" s="82">
        <f t="shared" ref="CX95:DC95" si="465">SUM(CX6:CX94)</f>
        <v>1796.6499999999996</v>
      </c>
      <c r="CY95" s="82">
        <f t="shared" si="465"/>
        <v>1731.0299999999997</v>
      </c>
      <c r="CZ95" s="82">
        <f t="shared" si="465"/>
        <v>60.97</v>
      </c>
      <c r="DA95" s="82">
        <f t="shared" si="465"/>
        <v>0</v>
      </c>
      <c r="DB95" s="82">
        <f t="shared" si="465"/>
        <v>137.45000000000002</v>
      </c>
      <c r="DC95" s="82">
        <f t="shared" si="465"/>
        <v>0</v>
      </c>
      <c r="DD95" s="97"/>
      <c r="DE95" s="82">
        <f t="shared" ref="DE95:DM95" si="466">SUM(DE6:DE94)</f>
        <v>0</v>
      </c>
      <c r="DF95" s="82">
        <f t="shared" si="466"/>
        <v>0</v>
      </c>
      <c r="DG95" s="82">
        <f t="shared" si="466"/>
        <v>0</v>
      </c>
      <c r="DH95" s="82">
        <f t="shared" si="466"/>
        <v>1590.4199999999996</v>
      </c>
      <c r="DI95" s="82">
        <f t="shared" si="466"/>
        <v>206.23000000000002</v>
      </c>
      <c r="DJ95" s="82">
        <f t="shared" si="466"/>
        <v>0</v>
      </c>
      <c r="DK95" s="82">
        <f t="shared" si="466"/>
        <v>0</v>
      </c>
      <c r="DL95" s="82">
        <f t="shared" si="466"/>
        <v>0</v>
      </c>
      <c r="DM95" s="82">
        <f t="shared" si="466"/>
        <v>0</v>
      </c>
      <c r="DO95" s="82">
        <f t="shared" ref="DO95:EO95" si="467">SUM(DO6:DO94)</f>
        <v>0</v>
      </c>
      <c r="DP95" s="82">
        <f t="shared" si="467"/>
        <v>0</v>
      </c>
      <c r="DQ95" s="82">
        <f t="shared" si="467"/>
        <v>0</v>
      </c>
      <c r="DR95" s="82">
        <f t="shared" si="467"/>
        <v>1590.4199999999996</v>
      </c>
      <c r="DS95" s="82">
        <f t="shared" si="467"/>
        <v>206.23000000000002</v>
      </c>
      <c r="DT95" s="82">
        <f t="shared" si="467"/>
        <v>0</v>
      </c>
      <c r="DU95" s="82">
        <f t="shared" si="467"/>
        <v>0</v>
      </c>
      <c r="DV95" s="82">
        <f t="shared" si="467"/>
        <v>0</v>
      </c>
      <c r="DW95" s="82">
        <f t="shared" si="467"/>
        <v>0</v>
      </c>
      <c r="DX95" s="82">
        <f t="shared" si="467"/>
        <v>0</v>
      </c>
      <c r="DY95" s="82">
        <f t="shared" si="467"/>
        <v>0</v>
      </c>
      <c r="DZ95" s="82">
        <f t="shared" si="467"/>
        <v>0</v>
      </c>
      <c r="EA95" s="82">
        <f t="shared" si="467"/>
        <v>1605.11</v>
      </c>
      <c r="EB95" s="82">
        <f t="shared" si="467"/>
        <v>173.69</v>
      </c>
      <c r="EC95" s="82">
        <f t="shared" si="467"/>
        <v>0</v>
      </c>
      <c r="ED95" s="82">
        <f t="shared" si="467"/>
        <v>0</v>
      </c>
      <c r="EE95" s="82">
        <f t="shared" si="467"/>
        <v>0</v>
      </c>
      <c r="EF95" s="82">
        <f t="shared" si="467"/>
        <v>141.03</v>
      </c>
      <c r="EG95" s="82">
        <f t="shared" si="467"/>
        <v>0</v>
      </c>
      <c r="EH95" s="82">
        <f t="shared" si="467"/>
        <v>0</v>
      </c>
      <c r="EI95" s="82">
        <f t="shared" si="467"/>
        <v>0</v>
      </c>
      <c r="EJ95" s="82">
        <f t="shared" si="467"/>
        <v>0</v>
      </c>
      <c r="EK95" s="82">
        <f t="shared" si="467"/>
        <v>0</v>
      </c>
      <c r="EL95" s="82">
        <f t="shared" si="467"/>
        <v>0</v>
      </c>
      <c r="EM95" s="82">
        <f t="shared" si="467"/>
        <v>62.17</v>
      </c>
      <c r="EN95" s="82">
        <f t="shared" si="467"/>
        <v>0</v>
      </c>
      <c r="EO95" s="82">
        <f t="shared" si="467"/>
        <v>0</v>
      </c>
      <c r="EQ95" s="82">
        <f>SUM(EQ6:EQ94)</f>
        <v>3152.5600000000004</v>
      </c>
      <c r="ER95" s="82">
        <f>SUM(ER6:ER94)</f>
        <v>375.11999999999995</v>
      </c>
      <c r="ES95" s="82">
        <f>SUM(ES6:ES94)</f>
        <v>137.45000000000002</v>
      </c>
      <c r="ET95" s="131"/>
      <c r="EU95" s="82">
        <f>SUM(EU6:EU94)</f>
        <v>150</v>
      </c>
      <c r="EV95" s="82">
        <f>SUM(EV6:EV94)</f>
        <v>20</v>
      </c>
      <c r="EW95" s="82">
        <f>SUM(EW6:EW94)</f>
        <v>6</v>
      </c>
    </row>
    <row r="96" spans="1:153" s="47" customFormat="1" ht="15.75" thickBot="1" x14ac:dyDescent="0.3">
      <c r="V96" s="538">
        <f>SUM(V95:W95)</f>
        <v>30.4</v>
      </c>
      <c r="W96" s="538"/>
      <c r="X96" s="538">
        <f>SUM(X95:Y95)</f>
        <v>207.39</v>
      </c>
      <c r="Y96" s="538"/>
      <c r="Z96" s="538">
        <f t="shared" ref="Z96" si="468">SUM(Z95:AA95)</f>
        <v>456</v>
      </c>
      <c r="AA96" s="538"/>
      <c r="AB96" s="538">
        <f t="shared" ref="AB96" si="469">SUM(AB95:AC95)</f>
        <v>744.42</v>
      </c>
      <c r="AC96" s="538"/>
      <c r="AD96" s="538">
        <f t="shared" ref="AD96" si="470">SUM(AD95:AE95)</f>
        <v>100.99</v>
      </c>
      <c r="AE96" s="538"/>
      <c r="AF96" s="538">
        <f t="shared" ref="AF96" si="471">SUM(AF95:AG95)</f>
        <v>0</v>
      </c>
      <c r="AG96" s="538"/>
      <c r="AH96" s="538">
        <f t="shared" ref="AH96" si="472">SUM(AH95:AI95)</f>
        <v>0</v>
      </c>
      <c r="AI96" s="538"/>
      <c r="AJ96" s="538">
        <f t="shared" ref="AJ96" si="473">SUM(AJ95:AK95)</f>
        <v>0</v>
      </c>
      <c r="AK96" s="538"/>
      <c r="AL96" s="538">
        <f t="shared" ref="AL96" si="474">SUM(AL95:AM95)</f>
        <v>0</v>
      </c>
      <c r="AM96" s="538"/>
      <c r="AN96" s="538">
        <f t="shared" ref="AN96" si="475">SUM(AN95:AO95)</f>
        <v>0</v>
      </c>
      <c r="AO96" s="538"/>
      <c r="AP96" s="538">
        <f t="shared" ref="AP96" si="476">SUM(AP95:AQ95)</f>
        <v>0</v>
      </c>
      <c r="AQ96" s="538"/>
      <c r="AR96" s="538">
        <f t="shared" ref="AR96" si="477">SUM(AR95:AS95)</f>
        <v>0</v>
      </c>
      <c r="AS96" s="538"/>
      <c r="AT96" s="538">
        <f t="shared" ref="AT96" si="478">SUM(AT95:AU95)</f>
        <v>0</v>
      </c>
      <c r="AU96" s="538"/>
      <c r="AV96" s="538">
        <f t="shared" ref="AV96" si="479">SUM(AV95:AW95)</f>
        <v>47.31</v>
      </c>
      <c r="AW96" s="538"/>
      <c r="AX96" s="538">
        <f t="shared" ref="AX96" si="480">SUM(AX95:AY95)</f>
        <v>54.63</v>
      </c>
      <c r="AY96" s="538"/>
      <c r="AZ96" s="538">
        <f t="shared" ref="AZ96" si="481">SUM(AZ95:BA95)</f>
        <v>0</v>
      </c>
      <c r="BA96" s="538"/>
      <c r="BB96" s="538">
        <f t="shared" ref="BB96" si="482">SUM(BB95:BC95)</f>
        <v>0</v>
      </c>
      <c r="BC96" s="538"/>
      <c r="BD96" s="538">
        <f t="shared" ref="BD96" si="483">SUM(BD95:BE95)</f>
        <v>0</v>
      </c>
      <c r="BE96" s="538"/>
      <c r="BF96" s="538">
        <f t="shared" ref="BF96" si="484">SUM(BF95:BG95)</f>
        <v>0</v>
      </c>
      <c r="BG96" s="538"/>
      <c r="BH96" s="538">
        <f t="shared" ref="BH96" si="485">SUM(BH95:BI95)</f>
        <v>325.45999999999998</v>
      </c>
      <c r="BI96" s="538"/>
      <c r="BJ96" s="538">
        <f t="shared" ref="BJ96" si="486">SUM(BJ95:BK95)</f>
        <v>419.03999999999996</v>
      </c>
      <c r="BK96" s="538"/>
      <c r="BL96" s="538">
        <f t="shared" ref="BL96" si="487">SUM(BL95:BM95)</f>
        <v>499.65000000000003</v>
      </c>
      <c r="BM96" s="538"/>
      <c r="BN96" s="538">
        <f t="shared" ref="BN96" si="488">SUM(BN95:BO95)</f>
        <v>559.62</v>
      </c>
      <c r="BO96" s="538"/>
      <c r="BP96" s="538">
        <f t="shared" ref="BP96" si="489">SUM(BP95:BQ95)</f>
        <v>89.490000000000009</v>
      </c>
      <c r="BQ96" s="538"/>
      <c r="BR96" s="538">
        <f t="shared" ref="BR96" si="490">SUM(BR95:BS95)</f>
        <v>0</v>
      </c>
      <c r="BS96" s="538"/>
      <c r="BT96" s="538">
        <f t="shared" ref="BT96" si="491">SUM(BT95:BU95)</f>
        <v>0</v>
      </c>
      <c r="BU96" s="538"/>
      <c r="BV96" s="538">
        <f t="shared" ref="BV96" si="492">SUM(BV95:BW95)</f>
        <v>0</v>
      </c>
      <c r="BW96" s="538"/>
      <c r="BX96" s="538">
        <f t="shared" ref="BX96" si="493">SUM(BX95:BY95)</f>
        <v>0</v>
      </c>
      <c r="BY96" s="538"/>
      <c r="BZ96" s="538">
        <f t="shared" ref="BZ96" si="494">SUM(BZ95:CA95)</f>
        <v>0</v>
      </c>
      <c r="CA96" s="538"/>
      <c r="CB96" s="538">
        <f t="shared" ref="CB96" si="495">SUM(CB95:CC95)</f>
        <v>0</v>
      </c>
      <c r="CC96" s="538"/>
      <c r="CD96" s="538">
        <f t="shared" ref="CD96" si="496">SUM(CD95:CE95)</f>
        <v>0</v>
      </c>
      <c r="CE96" s="538"/>
      <c r="CF96" s="538">
        <f t="shared" ref="CF96" si="497">SUM(CF95:CG95)</f>
        <v>34.31</v>
      </c>
      <c r="CG96" s="538"/>
      <c r="CH96" s="538">
        <f t="shared" ref="CH96" si="498">SUM(CH95:CI95)</f>
        <v>0</v>
      </c>
      <c r="CI96" s="538"/>
      <c r="CJ96" s="538">
        <f t="shared" ref="CJ96" si="499">SUM(CJ95:CK95)</f>
        <v>0</v>
      </c>
      <c r="CK96" s="538"/>
      <c r="CL96" s="538">
        <f t="shared" ref="CL96" si="500">SUM(CL95:CM95)</f>
        <v>0</v>
      </c>
      <c r="CM96" s="538"/>
      <c r="CN96" s="538">
        <f t="shared" ref="CN96" si="501">SUM(CN95:CO95)</f>
        <v>0</v>
      </c>
      <c r="CO96" s="538"/>
      <c r="DH96" s="203">
        <f>SUM(DH95:DI95)</f>
        <v>1796.6499999999996</v>
      </c>
      <c r="ET96" s="131"/>
    </row>
    <row r="97" spans="1:150" s="47" customFormat="1" ht="15" x14ac:dyDescent="0.25">
      <c r="V97" s="539"/>
      <c r="W97" s="539"/>
      <c r="X97" s="539"/>
      <c r="Y97" s="539"/>
      <c r="Z97" s="539"/>
      <c r="AA97" s="539"/>
      <c r="AB97" s="539"/>
      <c r="AC97" s="539"/>
      <c r="AD97" s="539"/>
      <c r="AE97" s="539"/>
      <c r="AF97" s="539"/>
      <c r="AG97" s="539"/>
      <c r="AH97" s="539"/>
      <c r="AI97" s="539"/>
      <c r="AJ97" s="539"/>
      <c r="AK97" s="539"/>
      <c r="AL97" s="539"/>
      <c r="AM97" s="539"/>
      <c r="AN97" s="551"/>
      <c r="AO97" s="551"/>
      <c r="AP97" s="551"/>
      <c r="AQ97" s="551"/>
      <c r="AR97" s="551"/>
      <c r="AS97" s="551"/>
      <c r="AT97" s="551"/>
      <c r="AU97" s="551"/>
      <c r="AV97" s="551"/>
      <c r="AW97" s="551"/>
      <c r="AX97" s="551"/>
      <c r="AY97" s="551"/>
      <c r="AZ97" s="551"/>
      <c r="BA97" s="551"/>
      <c r="BB97" s="551"/>
      <c r="BC97" s="551"/>
      <c r="BD97" s="551"/>
      <c r="BE97" s="551"/>
      <c r="BF97" s="551"/>
      <c r="BG97" s="551"/>
      <c r="BH97" s="551"/>
      <c r="BI97" s="551"/>
      <c r="BJ97" s="551"/>
      <c r="BK97" s="551"/>
      <c r="BL97" s="551"/>
      <c r="BM97" s="551"/>
      <c r="BN97" s="551"/>
      <c r="BO97" s="551"/>
      <c r="BP97" s="551"/>
      <c r="BQ97" s="551"/>
      <c r="BR97" s="551"/>
      <c r="BS97" s="551"/>
      <c r="BT97" s="551"/>
      <c r="BU97" s="551"/>
      <c r="BV97" s="551"/>
      <c r="BW97" s="551"/>
      <c r="BX97" s="551"/>
      <c r="BY97" s="551"/>
      <c r="BZ97" s="551"/>
      <c r="CA97" s="551"/>
      <c r="CB97" s="551"/>
      <c r="CC97" s="551"/>
      <c r="CD97" s="551"/>
      <c r="CE97" s="551"/>
      <c r="CF97" s="551"/>
      <c r="CG97" s="551"/>
      <c r="CH97" s="551"/>
      <c r="CI97" s="551"/>
      <c r="CJ97" s="551"/>
      <c r="CK97" s="551"/>
      <c r="CL97" s="551"/>
      <c r="CM97" s="551"/>
      <c r="CN97" s="551"/>
      <c r="CO97" s="551"/>
      <c r="ET97" s="131"/>
    </row>
    <row r="98" spans="1:150" ht="15.75" thickBot="1" x14ac:dyDescent="0.3"/>
    <row r="99" spans="1:150" ht="16.5" thickBot="1" x14ac:dyDescent="0.3">
      <c r="A99" s="535" t="s">
        <v>160</v>
      </c>
      <c r="B99" s="536"/>
      <c r="C99" s="536"/>
      <c r="D99" s="536"/>
      <c r="E99" s="536"/>
      <c r="F99" s="536"/>
      <c r="G99" s="536"/>
      <c r="H99" s="536"/>
      <c r="I99" s="536"/>
      <c r="J99" s="536"/>
      <c r="K99" s="536"/>
      <c r="L99" s="536"/>
      <c r="M99" s="537"/>
      <c r="N99" s="299"/>
    </row>
    <row r="100" spans="1:150" x14ac:dyDescent="0.3">
      <c r="A100" s="520" t="s">
        <v>150</v>
      </c>
      <c r="B100" s="521"/>
      <c r="C100" s="521"/>
      <c r="D100" s="521"/>
      <c r="E100" s="59" t="s">
        <v>151</v>
      </c>
      <c r="F100" s="59" t="s">
        <v>6</v>
      </c>
      <c r="G100" s="59" t="s">
        <v>7</v>
      </c>
      <c r="H100" s="59" t="s">
        <v>8</v>
      </c>
      <c r="I100" s="59" t="s">
        <v>9</v>
      </c>
      <c r="J100" s="60" t="s">
        <v>10</v>
      </c>
      <c r="K100" s="59" t="s">
        <v>11</v>
      </c>
      <c r="L100" s="59" t="s">
        <v>12</v>
      </c>
      <c r="M100" s="61" t="s">
        <v>152</v>
      </c>
      <c r="N100" s="300"/>
    </row>
    <row r="101" spans="1:150" x14ac:dyDescent="0.3">
      <c r="A101" s="522"/>
      <c r="B101" s="523"/>
      <c r="C101" s="523"/>
      <c r="D101" s="523"/>
      <c r="E101" s="54">
        <f>V96</f>
        <v>30.4</v>
      </c>
      <c r="F101" s="54">
        <f>X96</f>
        <v>207.39</v>
      </c>
      <c r="G101" s="54">
        <f>Z96</f>
        <v>456</v>
      </c>
      <c r="H101" s="54">
        <f>AB96</f>
        <v>744.42</v>
      </c>
      <c r="I101" s="54">
        <f>AD96</f>
        <v>100.99</v>
      </c>
      <c r="J101" s="54">
        <f>AF96</f>
        <v>0</v>
      </c>
      <c r="K101" s="54">
        <f>AH96</f>
        <v>0</v>
      </c>
      <c r="L101" s="54">
        <f>AJ96</f>
        <v>0</v>
      </c>
      <c r="M101" s="54">
        <f>AL96</f>
        <v>0</v>
      </c>
      <c r="N101" s="301"/>
    </row>
    <row r="102" spans="1:150" ht="15.75" thickBot="1" x14ac:dyDescent="0.3">
      <c r="A102" s="524" t="s">
        <v>153</v>
      </c>
      <c r="B102" s="525"/>
      <c r="C102" s="525"/>
      <c r="D102" s="525"/>
      <c r="E102" s="526">
        <f>SUM(E101:M101)</f>
        <v>1539.2</v>
      </c>
      <c r="F102" s="527"/>
      <c r="G102" s="527"/>
      <c r="H102" s="527"/>
      <c r="I102" s="527"/>
      <c r="J102" s="527"/>
      <c r="K102" s="527"/>
      <c r="L102" s="527"/>
      <c r="M102" s="528"/>
      <c r="N102" s="302"/>
    </row>
    <row r="103" spans="1:150" ht="8.25" customHeight="1" thickBot="1" x14ac:dyDescent="0.3">
      <c r="A103" s="63"/>
      <c r="B103" s="56"/>
      <c r="C103" s="56"/>
      <c r="D103" s="57"/>
      <c r="E103" s="57"/>
      <c r="F103" s="57"/>
      <c r="G103" s="57"/>
      <c r="H103" s="57"/>
      <c r="I103" s="58"/>
      <c r="J103" s="58"/>
      <c r="K103" s="57"/>
      <c r="L103" s="57"/>
      <c r="M103" s="64"/>
      <c r="N103" s="303"/>
    </row>
    <row r="104" spans="1:150" x14ac:dyDescent="0.3">
      <c r="A104" s="520" t="s">
        <v>154</v>
      </c>
      <c r="B104" s="521"/>
      <c r="C104" s="521"/>
      <c r="D104" s="521"/>
      <c r="E104" s="59" t="s">
        <v>151</v>
      </c>
      <c r="F104" s="59" t="s">
        <v>6</v>
      </c>
      <c r="G104" s="59" t="s">
        <v>7</v>
      </c>
      <c r="H104" s="59" t="s">
        <v>8</v>
      </c>
      <c r="I104" s="59" t="s">
        <v>9</v>
      </c>
      <c r="J104" s="60" t="s">
        <v>10</v>
      </c>
      <c r="K104" s="59" t="s">
        <v>11</v>
      </c>
      <c r="L104" s="59" t="s">
        <v>12</v>
      </c>
      <c r="M104" s="61" t="s">
        <v>152</v>
      </c>
      <c r="N104" s="300"/>
    </row>
    <row r="105" spans="1:150" x14ac:dyDescent="0.3">
      <c r="A105" s="522"/>
      <c r="B105" s="523"/>
      <c r="C105" s="523"/>
      <c r="D105" s="523"/>
      <c r="E105" s="54">
        <f>AN96</f>
        <v>0</v>
      </c>
      <c r="F105" s="54">
        <f>AP96</f>
        <v>0</v>
      </c>
      <c r="G105" s="54">
        <f>AR96</f>
        <v>0</v>
      </c>
      <c r="H105" s="54">
        <f>AT96</f>
        <v>0</v>
      </c>
      <c r="I105" s="54">
        <f>AV96</f>
        <v>47.31</v>
      </c>
      <c r="J105" s="55">
        <f>AX96</f>
        <v>54.63</v>
      </c>
      <c r="K105" s="54">
        <f>AZ96</f>
        <v>0</v>
      </c>
      <c r="L105" s="54">
        <f>BB96</f>
        <v>0</v>
      </c>
      <c r="M105" s="62">
        <f>BD96</f>
        <v>0</v>
      </c>
      <c r="N105" s="301"/>
    </row>
    <row r="106" spans="1:150" ht="15.75" thickBot="1" x14ac:dyDescent="0.3">
      <c r="A106" s="524" t="s">
        <v>155</v>
      </c>
      <c r="B106" s="525"/>
      <c r="C106" s="525"/>
      <c r="D106" s="525"/>
      <c r="E106" s="526">
        <f>SUM(E105:M105)</f>
        <v>101.94</v>
      </c>
      <c r="F106" s="527"/>
      <c r="G106" s="527"/>
      <c r="H106" s="527"/>
      <c r="I106" s="527"/>
      <c r="J106" s="527"/>
      <c r="K106" s="527"/>
      <c r="L106" s="527"/>
      <c r="M106" s="528"/>
      <c r="N106" s="302"/>
    </row>
    <row r="107" spans="1:150" ht="7.5" customHeight="1" thickBot="1" x14ac:dyDescent="0.3">
      <c r="A107" s="63"/>
      <c r="B107" s="56"/>
      <c r="C107" s="56"/>
      <c r="D107" s="57"/>
      <c r="E107" s="57"/>
      <c r="F107" s="57"/>
      <c r="G107" s="57"/>
      <c r="H107" s="57"/>
      <c r="I107" s="58"/>
      <c r="J107" s="58"/>
      <c r="K107" s="57"/>
      <c r="L107" s="57"/>
      <c r="M107" s="64"/>
      <c r="N107" s="303"/>
    </row>
    <row r="108" spans="1:150" x14ac:dyDescent="0.3">
      <c r="A108" s="520" t="s">
        <v>156</v>
      </c>
      <c r="B108" s="521"/>
      <c r="C108" s="521"/>
      <c r="D108" s="521"/>
      <c r="E108" s="59" t="s">
        <v>151</v>
      </c>
      <c r="F108" s="59" t="s">
        <v>6</v>
      </c>
      <c r="G108" s="59" t="s">
        <v>7</v>
      </c>
      <c r="H108" s="59" t="s">
        <v>8</v>
      </c>
      <c r="I108" s="59" t="s">
        <v>9</v>
      </c>
      <c r="J108" s="60" t="s">
        <v>10</v>
      </c>
      <c r="K108" s="59" t="s">
        <v>11</v>
      </c>
      <c r="L108" s="59" t="s">
        <v>12</v>
      </c>
      <c r="M108" s="61" t="s">
        <v>152</v>
      </c>
      <c r="N108" s="300"/>
    </row>
    <row r="109" spans="1:150" x14ac:dyDescent="0.3">
      <c r="A109" s="522"/>
      <c r="B109" s="523"/>
      <c r="C109" s="523"/>
      <c r="D109" s="523"/>
      <c r="E109" s="54">
        <f>BF96</f>
        <v>0</v>
      </c>
      <c r="F109" s="54">
        <f>BH96</f>
        <v>325.45999999999998</v>
      </c>
      <c r="G109" s="54">
        <f>BJ96</f>
        <v>419.03999999999996</v>
      </c>
      <c r="H109" s="54">
        <f>BL96</f>
        <v>499.65000000000003</v>
      </c>
      <c r="I109" s="54">
        <f>BN96</f>
        <v>559.62</v>
      </c>
      <c r="J109" s="55">
        <f>BP96</f>
        <v>89.490000000000009</v>
      </c>
      <c r="K109" s="54">
        <f>BR96</f>
        <v>0</v>
      </c>
      <c r="L109" s="54">
        <f>BT96</f>
        <v>0</v>
      </c>
      <c r="M109" s="62">
        <f>BV96</f>
        <v>0</v>
      </c>
      <c r="N109" s="301"/>
    </row>
    <row r="110" spans="1:150" ht="15.75" thickBot="1" x14ac:dyDescent="0.3">
      <c r="A110" s="524" t="s">
        <v>157</v>
      </c>
      <c r="B110" s="525"/>
      <c r="C110" s="525"/>
      <c r="D110" s="525"/>
      <c r="E110" s="526">
        <f>SUM(E109:M109)</f>
        <v>1893.26</v>
      </c>
      <c r="F110" s="527"/>
      <c r="G110" s="527"/>
      <c r="H110" s="527"/>
      <c r="I110" s="527"/>
      <c r="J110" s="527"/>
      <c r="K110" s="527"/>
      <c r="L110" s="527"/>
      <c r="M110" s="528"/>
      <c r="N110" s="302"/>
    </row>
    <row r="111" spans="1:150" ht="7.5" customHeight="1" thickBot="1" x14ac:dyDescent="0.3">
      <c r="A111" s="63"/>
      <c r="B111" s="56"/>
      <c r="C111" s="56"/>
      <c r="D111" s="57"/>
      <c r="E111" s="57"/>
      <c r="F111" s="57"/>
      <c r="G111" s="57"/>
      <c r="H111" s="57"/>
      <c r="I111" s="58"/>
      <c r="J111" s="58"/>
      <c r="K111" s="57"/>
      <c r="L111" s="57"/>
      <c r="M111" s="64"/>
      <c r="N111" s="303"/>
    </row>
    <row r="112" spans="1:150" x14ac:dyDescent="0.3">
      <c r="A112" s="520" t="s">
        <v>158</v>
      </c>
      <c r="B112" s="521"/>
      <c r="C112" s="521"/>
      <c r="D112" s="521"/>
      <c r="E112" s="59" t="s">
        <v>151</v>
      </c>
      <c r="F112" s="59" t="s">
        <v>6</v>
      </c>
      <c r="G112" s="59" t="s">
        <v>7</v>
      </c>
      <c r="H112" s="59" t="s">
        <v>8</v>
      </c>
      <c r="I112" s="59" t="s">
        <v>9</v>
      </c>
      <c r="J112" s="60" t="s">
        <v>10</v>
      </c>
      <c r="K112" s="59" t="s">
        <v>11</v>
      </c>
      <c r="L112" s="59" t="s">
        <v>12</v>
      </c>
      <c r="M112" s="61" t="s">
        <v>152</v>
      </c>
      <c r="N112" s="300"/>
    </row>
    <row r="113" spans="1:14" x14ac:dyDescent="0.3">
      <c r="A113" s="522"/>
      <c r="B113" s="523"/>
      <c r="C113" s="523"/>
      <c r="D113" s="523"/>
      <c r="E113" s="54">
        <f>BX96</f>
        <v>0</v>
      </c>
      <c r="F113" s="54">
        <f>BZ96</f>
        <v>0</v>
      </c>
      <c r="G113" s="54">
        <f>CB96</f>
        <v>0</v>
      </c>
      <c r="H113" s="54">
        <f>CD96</f>
        <v>0</v>
      </c>
      <c r="I113" s="54">
        <f>CF96</f>
        <v>34.31</v>
      </c>
      <c r="J113" s="55">
        <f>CH96</f>
        <v>0</v>
      </c>
      <c r="K113" s="54">
        <f>CJ96</f>
        <v>0</v>
      </c>
      <c r="L113" s="54">
        <f>CL96</f>
        <v>0</v>
      </c>
      <c r="M113" s="62">
        <f>CN96</f>
        <v>0</v>
      </c>
      <c r="N113" s="301"/>
    </row>
    <row r="114" spans="1:14" ht="15.75" thickBot="1" x14ac:dyDescent="0.3">
      <c r="A114" s="524" t="s">
        <v>159</v>
      </c>
      <c r="B114" s="525"/>
      <c r="C114" s="525"/>
      <c r="D114" s="525"/>
      <c r="E114" s="526">
        <f>SUM(E113:M113)</f>
        <v>34.31</v>
      </c>
      <c r="F114" s="527"/>
      <c r="G114" s="527"/>
      <c r="H114" s="527"/>
      <c r="I114" s="527"/>
      <c r="J114" s="527"/>
      <c r="K114" s="527"/>
      <c r="L114" s="527"/>
      <c r="M114" s="528"/>
      <c r="N114" s="302"/>
    </row>
    <row r="115" spans="1:14" ht="15.75" thickBot="1" x14ac:dyDescent="0.3"/>
    <row r="116" spans="1:14" ht="15.75" thickBot="1" x14ac:dyDescent="0.3">
      <c r="A116" s="500" t="s">
        <v>303</v>
      </c>
      <c r="B116" s="501"/>
      <c r="C116" s="501"/>
      <c r="D116" s="501"/>
      <c r="E116" s="85">
        <f>SUM(E102+E106+E110+E114)</f>
        <v>3568.71</v>
      </c>
    </row>
    <row r="117" spans="1:14" ht="15.75" thickBot="1" x14ac:dyDescent="0.3">
      <c r="A117" s="502" t="s">
        <v>304</v>
      </c>
      <c r="B117" s="503"/>
      <c r="C117" s="503"/>
      <c r="D117" s="503"/>
      <c r="E117" s="74">
        <f>'MET TUB EXISTENTE'!B80</f>
        <v>3677.3999999999996</v>
      </c>
    </row>
    <row r="118" spans="1:14" ht="15.75" thickBot="1" x14ac:dyDescent="0.3">
      <c r="A118" s="502" t="s">
        <v>629</v>
      </c>
      <c r="B118" s="503"/>
      <c r="C118" s="503"/>
      <c r="D118" s="503"/>
      <c r="E118" s="74">
        <f>'MET TUB EXISTENTE'!D79</f>
        <v>141.03</v>
      </c>
    </row>
    <row r="119" spans="1:14" ht="15.75" thickBot="1" x14ac:dyDescent="0.3"/>
    <row r="120" spans="1:14" ht="15.75" thickBot="1" x14ac:dyDescent="0.3">
      <c r="A120" s="494" t="s">
        <v>311</v>
      </c>
      <c r="B120" s="495"/>
      <c r="C120" s="509"/>
    </row>
    <row r="121" spans="1:14" ht="15" x14ac:dyDescent="0.25">
      <c r="A121" s="507" t="s">
        <v>312</v>
      </c>
      <c r="B121" s="508"/>
      <c r="C121" s="86">
        <f>CQ95</f>
        <v>0</v>
      </c>
    </row>
    <row r="122" spans="1:14" ht="15" x14ac:dyDescent="0.25">
      <c r="A122" s="496" t="s">
        <v>313</v>
      </c>
      <c r="B122" s="497"/>
      <c r="C122" s="83">
        <f>CR95</f>
        <v>1819.6100000000004</v>
      </c>
    </row>
    <row r="123" spans="1:14" ht="15" x14ac:dyDescent="0.25">
      <c r="A123" s="496" t="s">
        <v>314</v>
      </c>
      <c r="B123" s="497"/>
      <c r="C123" s="83">
        <f>CS95</f>
        <v>0</v>
      </c>
    </row>
    <row r="124" spans="1:14" ht="15" x14ac:dyDescent="0.25">
      <c r="A124" s="496" t="s">
        <v>315</v>
      </c>
      <c r="B124" s="497"/>
      <c r="C124" s="83">
        <f>CT95</f>
        <v>1773.1999999999998</v>
      </c>
    </row>
    <row r="125" spans="1:14" ht="15" x14ac:dyDescent="0.25">
      <c r="A125" s="496" t="s">
        <v>310</v>
      </c>
      <c r="B125" s="497"/>
      <c r="C125" s="83">
        <f>CV95</f>
        <v>0</v>
      </c>
    </row>
    <row r="126" spans="1:14" ht="15.75" thickBot="1" x14ac:dyDescent="0.3">
      <c r="A126" s="498" t="s">
        <v>309</v>
      </c>
      <c r="B126" s="499"/>
      <c r="C126" s="84">
        <f>CU95</f>
        <v>239.68</v>
      </c>
    </row>
    <row r="127" spans="1:14" ht="15.75" thickBot="1" x14ac:dyDescent="0.3"/>
    <row r="128" spans="1:14" ht="15.75" thickBot="1" x14ac:dyDescent="0.3">
      <c r="A128" s="494" t="s">
        <v>323</v>
      </c>
      <c r="B128" s="495"/>
      <c r="C128" s="87">
        <v>931.67</v>
      </c>
    </row>
    <row r="129" spans="1:10" ht="15.75" thickBot="1" x14ac:dyDescent="0.3">
      <c r="A129" s="88"/>
      <c r="B129" s="88"/>
      <c r="C129" s="89"/>
    </row>
    <row r="130" spans="1:10" ht="15" x14ac:dyDescent="0.25">
      <c r="A130" s="487" t="s">
        <v>326</v>
      </c>
      <c r="B130" s="488"/>
      <c r="C130" s="488"/>
      <c r="D130" s="488"/>
      <c r="E130" s="489"/>
      <c r="F130" s="487" t="s">
        <v>327</v>
      </c>
      <c r="G130" s="488"/>
      <c r="H130" s="488"/>
      <c r="I130" s="488"/>
      <c r="J130" s="489"/>
    </row>
    <row r="131" spans="1:10" ht="15" x14ac:dyDescent="0.25">
      <c r="A131" s="490" t="s">
        <v>211</v>
      </c>
      <c r="B131" s="491"/>
      <c r="C131" s="491"/>
      <c r="D131" s="491"/>
      <c r="E131" s="83">
        <f>H101+H105</f>
        <v>744.42</v>
      </c>
      <c r="F131" s="490" t="s">
        <v>211</v>
      </c>
      <c r="G131" s="491"/>
      <c r="H131" s="491"/>
      <c r="I131" s="491"/>
      <c r="J131" s="83">
        <f>H109+H113</f>
        <v>499.65000000000003</v>
      </c>
    </row>
    <row r="132" spans="1:10" ht="15" x14ac:dyDescent="0.25">
      <c r="A132" s="490" t="s">
        <v>212</v>
      </c>
      <c r="B132" s="491"/>
      <c r="C132" s="491"/>
      <c r="D132" s="491"/>
      <c r="E132" s="83">
        <f>I101+J101+I105+J105</f>
        <v>202.93</v>
      </c>
      <c r="F132" s="490" t="s">
        <v>212</v>
      </c>
      <c r="G132" s="491"/>
      <c r="H132" s="491"/>
      <c r="I132" s="491"/>
      <c r="J132" s="83">
        <f>I109+J109+I113+J113</f>
        <v>683.42000000000007</v>
      </c>
    </row>
    <row r="133" spans="1:10" ht="15" x14ac:dyDescent="0.25">
      <c r="A133" s="490" t="s">
        <v>324</v>
      </c>
      <c r="B133" s="491"/>
      <c r="C133" s="491"/>
      <c r="D133" s="491"/>
      <c r="E133" s="83">
        <f>K101+L101+K105+L105</f>
        <v>0</v>
      </c>
      <c r="F133" s="490" t="s">
        <v>324</v>
      </c>
      <c r="G133" s="491"/>
      <c r="H133" s="491"/>
      <c r="I133" s="491"/>
      <c r="J133" s="83">
        <f>K109+L109+K113+L113</f>
        <v>0</v>
      </c>
    </row>
    <row r="134" spans="1:10" ht="15.75" thickBot="1" x14ac:dyDescent="0.3">
      <c r="A134" s="492" t="s">
        <v>325</v>
      </c>
      <c r="B134" s="493"/>
      <c r="C134" s="493"/>
      <c r="D134" s="493"/>
      <c r="E134" s="84">
        <f>M101+M105</f>
        <v>0</v>
      </c>
      <c r="F134" s="492" t="s">
        <v>325</v>
      </c>
      <c r="G134" s="493"/>
      <c r="H134" s="493"/>
      <c r="I134" s="493"/>
      <c r="J134" s="84">
        <f>M109+M113</f>
        <v>0</v>
      </c>
    </row>
    <row r="135" spans="1:10" ht="15.75" thickBot="1" x14ac:dyDescent="0.3"/>
    <row r="136" spans="1:10" ht="15" x14ac:dyDescent="0.25">
      <c r="A136" s="480" t="s">
        <v>225</v>
      </c>
      <c r="B136" s="481"/>
      <c r="C136" s="481"/>
      <c r="D136" s="481"/>
      <c r="E136" s="112">
        <f>DH96</f>
        <v>1796.6499999999996</v>
      </c>
    </row>
    <row r="137" spans="1:10" ht="15.75" thickBot="1" x14ac:dyDescent="0.3">
      <c r="A137" s="469" t="s">
        <v>338</v>
      </c>
      <c r="B137" s="470"/>
      <c r="C137" s="470"/>
      <c r="D137" s="470"/>
      <c r="E137" s="84">
        <f>DM95</f>
        <v>0</v>
      </c>
    </row>
    <row r="138" spans="1:10" ht="15.75" thickBot="1" x14ac:dyDescent="0.3"/>
    <row r="139" spans="1:10" ht="15" x14ac:dyDescent="0.25">
      <c r="A139" s="540" t="s">
        <v>346</v>
      </c>
      <c r="B139" s="541"/>
      <c r="C139" s="542"/>
    </row>
    <row r="140" spans="1:10" ht="15" x14ac:dyDescent="0.25">
      <c r="A140" s="123">
        <v>200</v>
      </c>
      <c r="B140" s="122">
        <v>250</v>
      </c>
      <c r="C140" s="124">
        <v>315</v>
      </c>
    </row>
    <row r="141" spans="1:10" ht="15.75" thickBot="1" x14ac:dyDescent="0.3">
      <c r="A141" s="125">
        <f>EQ95</f>
        <v>3152.5600000000004</v>
      </c>
      <c r="B141" s="126">
        <f>ER95</f>
        <v>375.11999999999995</v>
      </c>
      <c r="C141" s="127">
        <f>ES95</f>
        <v>137.45000000000002</v>
      </c>
    </row>
    <row r="142" spans="1:10" ht="15.75" thickBot="1" x14ac:dyDescent="0.3"/>
    <row r="143" spans="1:10" x14ac:dyDescent="0.3">
      <c r="A143" s="487" t="s">
        <v>348</v>
      </c>
      <c r="B143" s="488"/>
      <c r="C143" s="489"/>
    </row>
    <row r="144" spans="1:10" x14ac:dyDescent="0.3">
      <c r="A144" s="546" t="s">
        <v>350</v>
      </c>
      <c r="B144" s="547"/>
      <c r="C144" s="129">
        <f>'sustento de empalmes'!F12</f>
        <v>9</v>
      </c>
    </row>
    <row r="145" spans="1:3" ht="15" thickBot="1" x14ac:dyDescent="0.35">
      <c r="A145" s="548" t="s">
        <v>351</v>
      </c>
      <c r="B145" s="549"/>
      <c r="C145" s="130">
        <f>'sustento de empalmes'!E13</f>
        <v>1</v>
      </c>
    </row>
    <row r="146" spans="1:3" ht="15" thickBot="1" x14ac:dyDescent="0.35"/>
    <row r="147" spans="1:3" x14ac:dyDescent="0.3">
      <c r="A147" s="540" t="s">
        <v>352</v>
      </c>
      <c r="B147" s="541"/>
      <c r="C147" s="542"/>
    </row>
    <row r="148" spans="1:3" x14ac:dyDescent="0.3">
      <c r="A148" s="123" t="s">
        <v>353</v>
      </c>
      <c r="B148" s="122" t="s">
        <v>354</v>
      </c>
      <c r="C148" s="124" t="s">
        <v>355</v>
      </c>
    </row>
    <row r="149" spans="1:3" ht="15" thickBot="1" x14ac:dyDescent="0.35">
      <c r="A149" s="134">
        <f>EU95</f>
        <v>150</v>
      </c>
      <c r="B149" s="135">
        <f>EV95</f>
        <v>20</v>
      </c>
      <c r="C149" s="84">
        <f>EW95</f>
        <v>6</v>
      </c>
    </row>
  </sheetData>
  <autoFilter ref="Q2:Q95"/>
  <mergeCells count="149">
    <mergeCell ref="A118:D118"/>
    <mergeCell ref="A147:C147"/>
    <mergeCell ref="EQ3:ES4"/>
    <mergeCell ref="A139:C139"/>
    <mergeCell ref="A143:C143"/>
    <mergeCell ref="A144:B144"/>
    <mergeCell ref="A145:B145"/>
    <mergeCell ref="EU4:EW4"/>
    <mergeCell ref="CL96:CM96"/>
    <mergeCell ref="CN96:CO96"/>
    <mergeCell ref="AN97:BE97"/>
    <mergeCell ref="BF97:BW97"/>
    <mergeCell ref="BX97:CO97"/>
    <mergeCell ref="CB96:CC96"/>
    <mergeCell ref="CD96:CE96"/>
    <mergeCell ref="CF96:CG96"/>
    <mergeCell ref="CH96:CI96"/>
    <mergeCell ref="CJ96:CK96"/>
    <mergeCell ref="BR96:BS96"/>
    <mergeCell ref="BT96:BU96"/>
    <mergeCell ref="BV96:BW96"/>
    <mergeCell ref="BX96:BY96"/>
    <mergeCell ref="BZ96:CA96"/>
    <mergeCell ref="BH96:BI96"/>
    <mergeCell ref="AN96:AO96"/>
    <mergeCell ref="AP96:AQ96"/>
    <mergeCell ref="AR96:AS96"/>
    <mergeCell ref="AT96:AU96"/>
    <mergeCell ref="AV96:AW96"/>
    <mergeCell ref="BJ96:BK96"/>
    <mergeCell ref="BL96:BM96"/>
    <mergeCell ref="BN96:BO96"/>
    <mergeCell ref="BP96:BQ96"/>
    <mergeCell ref="AX96:AY96"/>
    <mergeCell ref="AZ96:BA96"/>
    <mergeCell ref="BB96:BC96"/>
    <mergeCell ref="BD96:BE96"/>
    <mergeCell ref="BF96:BG96"/>
    <mergeCell ref="E106:M106"/>
    <mergeCell ref="A108:D109"/>
    <mergeCell ref="A110:D110"/>
    <mergeCell ref="E110:M110"/>
    <mergeCell ref="A112:D113"/>
    <mergeCell ref="A114:D114"/>
    <mergeCell ref="E114:M114"/>
    <mergeCell ref="A99:M99"/>
    <mergeCell ref="V96:W96"/>
    <mergeCell ref="V97:AM97"/>
    <mergeCell ref="X96:Y96"/>
    <mergeCell ref="Z96:AA96"/>
    <mergeCell ref="AB96:AC96"/>
    <mergeCell ref="AD96:AE96"/>
    <mergeCell ref="AF96:AG96"/>
    <mergeCell ref="AH96:AI96"/>
    <mergeCell ref="AJ96:AK96"/>
    <mergeCell ref="AL96:AM96"/>
    <mergeCell ref="V2:AM3"/>
    <mergeCell ref="V4:W4"/>
    <mergeCell ref="X4:Y4"/>
    <mergeCell ref="Z4:AA4"/>
    <mergeCell ref="AB4:AC4"/>
    <mergeCell ref="AD4:AE4"/>
    <mergeCell ref="AF4:AG4"/>
    <mergeCell ref="AH4:AI4"/>
    <mergeCell ref="AJ4:AK4"/>
    <mergeCell ref="AL4:AM4"/>
    <mergeCell ref="AN2:BE3"/>
    <mergeCell ref="AN4:AO4"/>
    <mergeCell ref="AP4:AQ4"/>
    <mergeCell ref="AR4:AS4"/>
    <mergeCell ref="AT4:AU4"/>
    <mergeCell ref="AV4:AW4"/>
    <mergeCell ref="AX4:AY4"/>
    <mergeCell ref="AZ4:BA4"/>
    <mergeCell ref="BB4:BC4"/>
    <mergeCell ref="BD4:BE4"/>
    <mergeCell ref="BF2:BW3"/>
    <mergeCell ref="BX2:CO3"/>
    <mergeCell ref="BF4:BG4"/>
    <mergeCell ref="BH4:BI4"/>
    <mergeCell ref="BJ4:BK4"/>
    <mergeCell ref="BL4:BM4"/>
    <mergeCell ref="BN4:BO4"/>
    <mergeCell ref="BP4:BQ4"/>
    <mergeCell ref="BR4:BS4"/>
    <mergeCell ref="BT4:BU4"/>
    <mergeCell ref="BV4:BW4"/>
    <mergeCell ref="BX4:BY4"/>
    <mergeCell ref="BZ4:CA4"/>
    <mergeCell ref="CB4:CC4"/>
    <mergeCell ref="CD4:CE4"/>
    <mergeCell ref="CF4:CG4"/>
    <mergeCell ref="A122:B122"/>
    <mergeCell ref="A123:B123"/>
    <mergeCell ref="A124:B124"/>
    <mergeCell ref="A125:B125"/>
    <mergeCell ref="A126:B126"/>
    <mergeCell ref="A116:D116"/>
    <mergeCell ref="A117:D117"/>
    <mergeCell ref="CQ4:CV4"/>
    <mergeCell ref="A121:B121"/>
    <mergeCell ref="A120:C120"/>
    <mergeCell ref="CH4:CI4"/>
    <mergeCell ref="CJ4:CK4"/>
    <mergeCell ref="CL4:CM4"/>
    <mergeCell ref="CN4:CO4"/>
    <mergeCell ref="A4:O4"/>
    <mergeCell ref="Q4:Q5"/>
    <mergeCell ref="R4:R5"/>
    <mergeCell ref="S4:S5"/>
    <mergeCell ref="T4:T5"/>
    <mergeCell ref="A100:D101"/>
    <mergeCell ref="A102:D102"/>
    <mergeCell ref="E102:M102"/>
    <mergeCell ref="A104:D105"/>
    <mergeCell ref="A106:D106"/>
    <mergeCell ref="F132:I132"/>
    <mergeCell ref="F133:I133"/>
    <mergeCell ref="F134:I134"/>
    <mergeCell ref="A128:B128"/>
    <mergeCell ref="A131:D131"/>
    <mergeCell ref="A132:D132"/>
    <mergeCell ref="A133:D133"/>
    <mergeCell ref="A134:D134"/>
    <mergeCell ref="A130:E130"/>
    <mergeCell ref="EG4:EI4"/>
    <mergeCell ref="EJ4:EL4"/>
    <mergeCell ref="EM4:EO4"/>
    <mergeCell ref="A137:D137"/>
    <mergeCell ref="DE1:DM2"/>
    <mergeCell ref="DO1:EO2"/>
    <mergeCell ref="DO3:DW3"/>
    <mergeCell ref="DX3:EF3"/>
    <mergeCell ref="EG3:EO3"/>
    <mergeCell ref="DO4:DQ4"/>
    <mergeCell ref="DR4:DT4"/>
    <mergeCell ref="DU4:DW4"/>
    <mergeCell ref="DX4:DZ4"/>
    <mergeCell ref="EA4:EC4"/>
    <mergeCell ref="ED4:EF4"/>
    <mergeCell ref="DE3:DM3"/>
    <mergeCell ref="A136:D136"/>
    <mergeCell ref="DE4:DG4"/>
    <mergeCell ref="DH4:DJ4"/>
    <mergeCell ref="DK4:DM4"/>
    <mergeCell ref="CX5:CZ5"/>
    <mergeCell ref="DA5:DC5"/>
    <mergeCell ref="F130:J130"/>
    <mergeCell ref="F131:I131"/>
  </mergeCells>
  <pageMargins left="0.70866141732283472" right="0.70866141732283472" top="0.74803149606299213" bottom="0.74803149606299213" header="0.31496062992125984" footer="0.31496062992125984"/>
  <pageSetup scale="2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535"/>
  <sheetViews>
    <sheetView topLeftCell="A505" workbookViewId="0">
      <selection activeCell="B490" sqref="B490:J522"/>
    </sheetView>
  </sheetViews>
  <sheetFormatPr baseColWidth="10" defaultRowHeight="14.4" x14ac:dyDescent="0.3"/>
  <cols>
    <col min="2" max="2" width="39.5546875" customWidth="1"/>
    <col min="4" max="4" width="11.44140625" hidden="1" customWidth="1"/>
    <col min="5" max="7" width="11.44140625" customWidth="1"/>
    <col min="8" max="8" width="11.88671875" customWidth="1"/>
    <col min="9" max="9" width="10.109375" customWidth="1"/>
    <col min="10" max="10" width="11.44140625" customWidth="1"/>
    <col min="11" max="21" width="11.44140625" hidden="1" customWidth="1"/>
    <col min="22" max="22" width="11.44140625" customWidth="1"/>
    <col min="23" max="23" width="17.33203125" style="73" customWidth="1"/>
    <col min="24" max="24" width="13.109375" customWidth="1"/>
  </cols>
  <sheetData>
    <row r="1" spans="1:49" ht="15.75" customHeight="1" thickBot="1" x14ac:dyDescent="0.35">
      <c r="A1" s="592" t="s">
        <v>690</v>
      </c>
      <c r="B1" s="590" t="s">
        <v>356</v>
      </c>
      <c r="C1" s="571" t="s">
        <v>357</v>
      </c>
      <c r="D1" s="581" t="s">
        <v>358</v>
      </c>
      <c r="E1" s="583" t="s">
        <v>359</v>
      </c>
      <c r="F1" s="583"/>
      <c r="G1" s="583"/>
      <c r="H1" s="583"/>
      <c r="I1" s="584" t="s">
        <v>360</v>
      </c>
      <c r="J1" s="585"/>
      <c r="K1" s="586"/>
      <c r="L1" s="587"/>
      <c r="M1" s="394"/>
      <c r="N1" s="394"/>
      <c r="O1" s="394"/>
      <c r="P1" s="588" t="s">
        <v>361</v>
      </c>
      <c r="Q1" s="395">
        <v>200</v>
      </c>
      <c r="R1" s="395">
        <v>250</v>
      </c>
      <c r="S1" s="395">
        <v>300</v>
      </c>
      <c r="T1" s="588" t="s">
        <v>362</v>
      </c>
      <c r="U1" s="595" t="s">
        <v>363</v>
      </c>
      <c r="V1" s="571" t="s">
        <v>364</v>
      </c>
      <c r="W1" s="596" t="s">
        <v>602</v>
      </c>
      <c r="X1" s="571" t="s">
        <v>689</v>
      </c>
      <c r="Z1" s="552" t="s">
        <v>585</v>
      </c>
      <c r="AA1" s="553"/>
      <c r="AB1" s="553"/>
      <c r="AC1" s="554"/>
      <c r="AD1" s="552" t="s">
        <v>586</v>
      </c>
      <c r="AE1" s="553"/>
      <c r="AF1" s="553"/>
      <c r="AG1" s="554"/>
      <c r="AH1" s="552" t="s">
        <v>587</v>
      </c>
      <c r="AI1" s="553"/>
      <c r="AJ1" s="553"/>
      <c r="AK1" s="554"/>
      <c r="AL1" s="552" t="s">
        <v>588</v>
      </c>
      <c r="AM1" s="553"/>
      <c r="AN1" s="553"/>
      <c r="AO1" s="554"/>
      <c r="AP1" s="552" t="s">
        <v>589</v>
      </c>
      <c r="AQ1" s="553"/>
      <c r="AR1" s="553"/>
      <c r="AS1" s="554"/>
      <c r="AT1" s="552" t="s">
        <v>590</v>
      </c>
      <c r="AU1" s="553"/>
      <c r="AV1" s="553"/>
      <c r="AW1" s="554"/>
    </row>
    <row r="2" spans="1:49" ht="55.8" thickBot="1" x14ac:dyDescent="0.35">
      <c r="A2" s="593"/>
      <c r="B2" s="591"/>
      <c r="C2" s="572"/>
      <c r="D2" s="582"/>
      <c r="E2" s="396" t="s">
        <v>365</v>
      </c>
      <c r="F2" s="397" t="s">
        <v>366</v>
      </c>
      <c r="G2" s="397" t="s">
        <v>367</v>
      </c>
      <c r="H2" s="398" t="s">
        <v>368</v>
      </c>
      <c r="I2" s="397" t="s">
        <v>369</v>
      </c>
      <c r="J2" s="396" t="s">
        <v>370</v>
      </c>
      <c r="K2" s="399" t="s">
        <v>371</v>
      </c>
      <c r="L2" s="400" t="s">
        <v>372</v>
      </c>
      <c r="M2" s="401" t="s">
        <v>373</v>
      </c>
      <c r="N2" s="400" t="s">
        <v>374</v>
      </c>
      <c r="O2" s="400" t="s">
        <v>375</v>
      </c>
      <c r="P2" s="589"/>
      <c r="Q2" s="578" t="s">
        <v>376</v>
      </c>
      <c r="R2" s="579"/>
      <c r="S2" s="580"/>
      <c r="T2" s="594"/>
      <c r="U2" s="589"/>
      <c r="V2" s="572"/>
      <c r="W2" s="597"/>
      <c r="X2" s="572"/>
      <c r="Z2" s="136" t="s">
        <v>591</v>
      </c>
      <c r="AA2" s="265" t="s">
        <v>592</v>
      </c>
      <c r="AB2" s="265" t="s">
        <v>593</v>
      </c>
      <c r="AC2" s="265" t="s">
        <v>594</v>
      </c>
      <c r="AD2" s="136" t="s">
        <v>591</v>
      </c>
      <c r="AE2" s="265" t="s">
        <v>592</v>
      </c>
      <c r="AF2" s="265" t="s">
        <v>593</v>
      </c>
      <c r="AG2" s="265" t="s">
        <v>594</v>
      </c>
      <c r="AH2" s="136" t="s">
        <v>591</v>
      </c>
      <c r="AI2" s="265" t="s">
        <v>592</v>
      </c>
      <c r="AJ2" s="265" t="s">
        <v>593</v>
      </c>
      <c r="AK2" s="265" t="s">
        <v>594</v>
      </c>
      <c r="AL2" s="136" t="s">
        <v>591</v>
      </c>
      <c r="AM2" s="265" t="s">
        <v>592</v>
      </c>
      <c r="AN2" s="265" t="s">
        <v>593</v>
      </c>
      <c r="AO2" s="265" t="s">
        <v>594</v>
      </c>
      <c r="AP2" s="136" t="s">
        <v>591</v>
      </c>
      <c r="AQ2" s="265" t="s">
        <v>592</v>
      </c>
      <c r="AR2" s="265" t="s">
        <v>593</v>
      </c>
      <c r="AS2" s="265" t="s">
        <v>594</v>
      </c>
      <c r="AT2" s="136" t="s">
        <v>591</v>
      </c>
      <c r="AU2" s="265" t="s">
        <v>592</v>
      </c>
      <c r="AV2" s="265" t="s">
        <v>593</v>
      </c>
      <c r="AW2" s="265" t="s">
        <v>594</v>
      </c>
    </row>
    <row r="3" spans="1:49" ht="15" thickBot="1" x14ac:dyDescent="0.35">
      <c r="A3" s="576" t="s">
        <v>533</v>
      </c>
      <c r="B3" s="337" t="s">
        <v>534</v>
      </c>
      <c r="C3" s="338">
        <v>1</v>
      </c>
      <c r="D3" s="339"/>
      <c r="E3" s="340">
        <v>1.1499999999999999</v>
      </c>
      <c r="F3" s="341">
        <v>0.6</v>
      </c>
      <c r="G3" s="341">
        <v>0.3</v>
      </c>
      <c r="H3" s="340">
        <v>1.1499999999999999</v>
      </c>
      <c r="I3" s="338" t="s">
        <v>578</v>
      </c>
      <c r="J3" s="342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4"/>
      <c r="V3" s="345" t="s">
        <v>379</v>
      </c>
      <c r="W3" s="321"/>
      <c r="X3" s="322">
        <v>5.28</v>
      </c>
      <c r="Z3" s="48" t="str">
        <f>IF(AND(0&lt;=$H3,$H3&lt;=1,$V3="U")=TRUE,$X3,"-")</f>
        <v>-</v>
      </c>
      <c r="AA3" s="48" t="str">
        <f>IF(AND(0&lt;=$H3,$H3&lt;=1,$V3="r")=TRUE,$X3,"-")</f>
        <v>-</v>
      </c>
      <c r="AB3" s="48" t="str">
        <f>IF(AND(0&lt;=$H3,$H3&lt;=1,$V3="RI")=TRUE,$X3,"-")</f>
        <v>-</v>
      </c>
      <c r="AC3" s="48" t="str">
        <f>IF(AND(0&lt;=$H3,$H3&lt;=1,$V3="RE")=TRUE,$X3,"-")</f>
        <v>-</v>
      </c>
      <c r="AD3" s="48">
        <f>IF(AND(1.01&lt;=$H3,$H3&lt;=1.25,$V3="U")=TRUE,$X3,"-")</f>
        <v>5.28</v>
      </c>
      <c r="AE3" s="48" t="str">
        <f>IF(AND(1.01&lt;=$H3,$H3&lt;=1.25,$V3="R")=TRUE,$X3,"-")</f>
        <v>-</v>
      </c>
      <c r="AF3" s="48" t="str">
        <f>IF(AND(1.01&lt;=$H3,$H3&lt;=1.25,$V3="RI")=TRUE,$X3,"-")</f>
        <v>-</v>
      </c>
      <c r="AG3" s="48" t="str">
        <f>IF(AND(1.01&lt;=$H3,$H3&lt;=1.25,$V3="RE")=TRUE,$X3,"-")</f>
        <v>-</v>
      </c>
      <c r="AH3" s="48" t="str">
        <f>IF(AND(1.26&lt;=$H3,$H3&lt;=1.5,$X3="U")=TRUE,$M3,"-")</f>
        <v>-</v>
      </c>
      <c r="AI3" s="49" t="str">
        <f>IF(AND(1.26&lt;=$H3,$H3&lt;=1.5,$X3="R")=TRUE,$M3,"-")</f>
        <v>-</v>
      </c>
      <c r="AJ3" s="49" t="str">
        <f>IF(AND(1.26&lt;=$H3,$H3&lt;=1.5,$X3="RI")=TRUE,$M3,"-")</f>
        <v>-</v>
      </c>
      <c r="AK3" s="50" t="str">
        <f>IF(AND(1.26&lt;=$H3,$H3&lt;=1.5,$X3="RE")=TRUE,$M3,"-")</f>
        <v>-</v>
      </c>
      <c r="AL3" s="48" t="str">
        <f>IF(AND(1.51&lt;=$H3,$H3&lt;=1.75,$X3="U")=TRUE,$M3,"-")</f>
        <v>-</v>
      </c>
      <c r="AM3" s="49" t="str">
        <f>IF(AND(1.51&lt;=$H3,$H3&lt;=1.75,$X3="R")=TRUE,$M3,"-")</f>
        <v>-</v>
      </c>
      <c r="AN3" s="49" t="str">
        <f>IF(AND(1.51&lt;=$H3,$H3&lt;=1.75,$X3="RI")=TRUE,$M3,"-")</f>
        <v>-</v>
      </c>
      <c r="AO3" s="50" t="str">
        <f>IF(AND(1.51&lt;=$H3,$H3&lt;=1.75,$X3="RE")=TRUE,$M3,"-")</f>
        <v>-</v>
      </c>
      <c r="AP3" s="48" t="str">
        <f>IF(AND(1.76&lt;=$H3,$H3&lt;=2,$X3="U")=TRUE,$M3,"-")</f>
        <v>-</v>
      </c>
      <c r="AQ3" s="49" t="str">
        <f>IF(AND(1.76&lt;=$H3,$H3&lt;=2,$X3="R")=TRUE,$M3,"-")</f>
        <v>-</v>
      </c>
      <c r="AR3" s="49" t="str">
        <f>IF(AND(1.76&lt;=$H3,$H3&lt;=2,$X3="RI")=TRUE,$M3,"-")</f>
        <v>-</v>
      </c>
      <c r="AS3" s="50" t="str">
        <f>IF(AND(1.76&lt;=$H3,$H3&lt;=2,$X3="RE")=TRUE,$M3,"-")</f>
        <v>-</v>
      </c>
      <c r="AT3" s="48" t="str">
        <f>IF(AND(2.01&lt;=$H3,$H3&lt;=2.5,$X3="U")=TRUE,$M3,"-")</f>
        <v>-</v>
      </c>
      <c r="AU3" s="49" t="str">
        <f>IF(AND(2.01&lt;=$H3,$H3&lt;=2.5,$X3="R")=TRUE,$M3,"-")</f>
        <v>-</v>
      </c>
      <c r="AV3" s="49" t="str">
        <f>IF(AND(2.01&lt;=$H3,$H3&lt;=2.5,$X3="RI")=TRUE,$M3,"-")</f>
        <v>-</v>
      </c>
      <c r="AW3" s="50" t="str">
        <f>IF(AND(2.01&lt;=$H3,$H3&lt;=2.5,$X3="RE")=TRUE,$M3,"-")</f>
        <v>-</v>
      </c>
    </row>
    <row r="4" spans="1:49" ht="15" thickBot="1" x14ac:dyDescent="0.35">
      <c r="A4" s="574"/>
      <c r="B4" s="346" t="s">
        <v>534</v>
      </c>
      <c r="C4" s="347">
        <v>2</v>
      </c>
      <c r="D4" s="335"/>
      <c r="E4" s="348">
        <v>1.1499999999999999</v>
      </c>
      <c r="F4" s="349">
        <v>0.6</v>
      </c>
      <c r="G4" s="349">
        <v>0.3</v>
      </c>
      <c r="H4" s="348">
        <v>1.1499999999999999</v>
      </c>
      <c r="I4" s="347" t="s">
        <v>578</v>
      </c>
      <c r="J4" s="350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51"/>
      <c r="V4" s="352" t="s">
        <v>379</v>
      </c>
      <c r="W4" s="323"/>
      <c r="X4" s="324">
        <v>5.18</v>
      </c>
      <c r="Z4" s="48" t="str">
        <f t="shared" ref="Z4:Z67" si="0">IF(AND(0&lt;=$H4,$H4&lt;=1,$V4="U")=TRUE,$X4,"-")</f>
        <v>-</v>
      </c>
      <c r="AA4" s="48" t="str">
        <f t="shared" ref="AA4:AA67" si="1">IF(AND(0&lt;=$H4,$H4&lt;=1,$V4="r")=TRUE,$X4,"-")</f>
        <v>-</v>
      </c>
      <c r="AB4" s="48" t="str">
        <f t="shared" ref="AB4:AB67" si="2">IF(AND(0&lt;=$H4,$H4&lt;=1,$V4="RI")=TRUE,$X4,"-")</f>
        <v>-</v>
      </c>
      <c r="AC4" s="48" t="str">
        <f t="shared" ref="AC4:AC67" si="3">IF(AND(0&lt;=$H4,$H4&lt;=1,$V4="RE")=TRUE,$X4,"-")</f>
        <v>-</v>
      </c>
      <c r="AD4" s="48">
        <f t="shared" ref="AD4:AD67" si="4">IF(AND(1.01&lt;=$H4,$H4&lt;=1.25,$V4="U")=TRUE,$X4,"-")</f>
        <v>5.18</v>
      </c>
      <c r="AE4" s="48" t="str">
        <f t="shared" ref="AE4:AE67" si="5">IF(AND(1.01&lt;=$H4,$H4&lt;=1.25,$V4="R")=TRUE,$X4,"-")</f>
        <v>-</v>
      </c>
      <c r="AF4" s="48" t="str">
        <f t="shared" ref="AF4:AF67" si="6">IF(AND(1.01&lt;=$H4,$H4&lt;=1.25,$V4="RI")=TRUE,$X4,"-")</f>
        <v>-</v>
      </c>
      <c r="AG4" s="48" t="str">
        <f t="shared" ref="AG4:AG67" si="7">IF(AND(1.01&lt;=$H4,$H4&lt;=1.25,$V4="RE")=TRUE,$X4,"-")</f>
        <v>-</v>
      </c>
    </row>
    <row r="5" spans="1:49" ht="15" thickBot="1" x14ac:dyDescent="0.35">
      <c r="A5" s="574"/>
      <c r="B5" s="346" t="s">
        <v>534</v>
      </c>
      <c r="C5" s="347">
        <v>3</v>
      </c>
      <c r="D5" s="335"/>
      <c r="E5" s="348">
        <v>1.1499999999999999</v>
      </c>
      <c r="F5" s="349">
        <v>0.6</v>
      </c>
      <c r="G5" s="349">
        <v>0.3</v>
      </c>
      <c r="H5" s="348">
        <v>1.1499999999999999</v>
      </c>
      <c r="I5" s="347" t="s">
        <v>578</v>
      </c>
      <c r="J5" s="350"/>
      <c r="K5" s="336"/>
      <c r="L5" s="336"/>
      <c r="M5" s="336"/>
      <c r="N5" s="336"/>
      <c r="O5" s="336"/>
      <c r="P5" s="336"/>
      <c r="Q5" s="336"/>
      <c r="R5" s="336"/>
      <c r="S5" s="336"/>
      <c r="T5" s="336"/>
      <c r="U5" s="351"/>
      <c r="V5" s="352" t="s">
        <v>379</v>
      </c>
      <c r="W5" s="323"/>
      <c r="X5" s="324">
        <v>5.1100000000000003</v>
      </c>
      <c r="Z5" s="48" t="str">
        <f t="shared" si="0"/>
        <v>-</v>
      </c>
      <c r="AA5" s="48" t="str">
        <f t="shared" si="1"/>
        <v>-</v>
      </c>
      <c r="AB5" s="48" t="str">
        <f t="shared" si="2"/>
        <v>-</v>
      </c>
      <c r="AC5" s="48" t="str">
        <f t="shared" si="3"/>
        <v>-</v>
      </c>
      <c r="AD5" s="48">
        <f t="shared" si="4"/>
        <v>5.1100000000000003</v>
      </c>
      <c r="AE5" s="48" t="str">
        <f t="shared" si="5"/>
        <v>-</v>
      </c>
      <c r="AF5" s="48" t="str">
        <f t="shared" si="6"/>
        <v>-</v>
      </c>
      <c r="AG5" s="48" t="str">
        <f t="shared" si="7"/>
        <v>-</v>
      </c>
    </row>
    <row r="6" spans="1:49" ht="15" thickBot="1" x14ac:dyDescent="0.35">
      <c r="A6" s="574"/>
      <c r="B6" s="346" t="s">
        <v>534</v>
      </c>
      <c r="C6" s="347">
        <v>4</v>
      </c>
      <c r="D6" s="335"/>
      <c r="E6" s="348">
        <v>1.1499999999999999</v>
      </c>
      <c r="F6" s="349">
        <v>0.6</v>
      </c>
      <c r="G6" s="349">
        <v>0.3</v>
      </c>
      <c r="H6" s="348">
        <v>1.1499999999999999</v>
      </c>
      <c r="I6" s="347" t="s">
        <v>578</v>
      </c>
      <c r="J6" s="350"/>
      <c r="K6" s="336"/>
      <c r="L6" s="336"/>
      <c r="M6" s="336"/>
      <c r="N6" s="336"/>
      <c r="O6" s="336"/>
      <c r="P6" s="336"/>
      <c r="Q6" s="336"/>
      <c r="R6" s="336"/>
      <c r="S6" s="336"/>
      <c r="T6" s="336"/>
      <c r="U6" s="351"/>
      <c r="V6" s="352" t="s">
        <v>379</v>
      </c>
      <c r="W6" s="323"/>
      <c r="X6" s="324">
        <v>5.04</v>
      </c>
      <c r="Z6" s="48" t="str">
        <f t="shared" si="0"/>
        <v>-</v>
      </c>
      <c r="AA6" s="48" t="str">
        <f t="shared" si="1"/>
        <v>-</v>
      </c>
      <c r="AB6" s="48" t="str">
        <f t="shared" si="2"/>
        <v>-</v>
      </c>
      <c r="AC6" s="48" t="str">
        <f t="shared" si="3"/>
        <v>-</v>
      </c>
      <c r="AD6" s="48">
        <f t="shared" si="4"/>
        <v>5.04</v>
      </c>
      <c r="AE6" s="48" t="str">
        <f t="shared" si="5"/>
        <v>-</v>
      </c>
      <c r="AF6" s="48" t="str">
        <f t="shared" si="6"/>
        <v>-</v>
      </c>
      <c r="AG6" s="48" t="str">
        <f t="shared" si="7"/>
        <v>-</v>
      </c>
    </row>
    <row r="7" spans="1:49" ht="15" thickBot="1" x14ac:dyDescent="0.35">
      <c r="A7" s="574"/>
      <c r="B7" s="346" t="s">
        <v>534</v>
      </c>
      <c r="C7" s="347">
        <v>5</v>
      </c>
      <c r="D7" s="335"/>
      <c r="E7" s="348">
        <v>1.1499999999999999</v>
      </c>
      <c r="F7" s="349">
        <v>0.6</v>
      </c>
      <c r="G7" s="349">
        <v>0.3</v>
      </c>
      <c r="H7" s="348">
        <v>1.1499999999999999</v>
      </c>
      <c r="I7" s="347" t="s">
        <v>578</v>
      </c>
      <c r="J7" s="350"/>
      <c r="K7" s="336"/>
      <c r="L7" s="336"/>
      <c r="M7" s="336"/>
      <c r="N7" s="336"/>
      <c r="O7" s="336"/>
      <c r="P7" s="336"/>
      <c r="Q7" s="336"/>
      <c r="R7" s="336"/>
      <c r="S7" s="336"/>
      <c r="T7" s="336"/>
      <c r="U7" s="351"/>
      <c r="V7" s="352" t="s">
        <v>379</v>
      </c>
      <c r="W7" s="323"/>
      <c r="X7" s="324">
        <v>5.0199999999999996</v>
      </c>
      <c r="Z7" s="48" t="str">
        <f t="shared" si="0"/>
        <v>-</v>
      </c>
      <c r="AA7" s="48" t="str">
        <f t="shared" si="1"/>
        <v>-</v>
      </c>
      <c r="AB7" s="48" t="str">
        <f t="shared" si="2"/>
        <v>-</v>
      </c>
      <c r="AC7" s="48" t="str">
        <f t="shared" si="3"/>
        <v>-</v>
      </c>
      <c r="AD7" s="48">
        <f t="shared" si="4"/>
        <v>5.0199999999999996</v>
      </c>
      <c r="AE7" s="48" t="str">
        <f t="shared" si="5"/>
        <v>-</v>
      </c>
      <c r="AF7" s="48" t="str">
        <f t="shared" si="6"/>
        <v>-</v>
      </c>
      <c r="AG7" s="48" t="str">
        <f t="shared" si="7"/>
        <v>-</v>
      </c>
    </row>
    <row r="8" spans="1:49" ht="15" thickBot="1" x14ac:dyDescent="0.35">
      <c r="A8" s="574"/>
      <c r="B8" s="346" t="s">
        <v>534</v>
      </c>
      <c r="C8" s="347">
        <v>6</v>
      </c>
      <c r="D8" s="335"/>
      <c r="E8" s="348">
        <v>1.1499999999999999</v>
      </c>
      <c r="F8" s="349">
        <v>0.6</v>
      </c>
      <c r="G8" s="349">
        <v>0.3</v>
      </c>
      <c r="H8" s="348">
        <v>1.1499999999999999</v>
      </c>
      <c r="I8" s="347" t="s">
        <v>578</v>
      </c>
      <c r="J8" s="350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51"/>
      <c r="V8" s="352" t="s">
        <v>379</v>
      </c>
      <c r="W8" s="323"/>
      <c r="X8" s="324">
        <v>4.9000000000000004</v>
      </c>
      <c r="Z8" s="48" t="str">
        <f t="shared" si="0"/>
        <v>-</v>
      </c>
      <c r="AA8" s="48" t="str">
        <f t="shared" si="1"/>
        <v>-</v>
      </c>
      <c r="AB8" s="48" t="str">
        <f t="shared" si="2"/>
        <v>-</v>
      </c>
      <c r="AC8" s="48" t="str">
        <f t="shared" si="3"/>
        <v>-</v>
      </c>
      <c r="AD8" s="48">
        <f t="shared" si="4"/>
        <v>4.9000000000000004</v>
      </c>
      <c r="AE8" s="48" t="str">
        <f t="shared" si="5"/>
        <v>-</v>
      </c>
      <c r="AF8" s="48" t="str">
        <f t="shared" si="6"/>
        <v>-</v>
      </c>
      <c r="AG8" s="48" t="str">
        <f t="shared" si="7"/>
        <v>-</v>
      </c>
    </row>
    <row r="9" spans="1:49" ht="15" thickBot="1" x14ac:dyDescent="0.35">
      <c r="A9" s="574"/>
      <c r="B9" s="346" t="s">
        <v>534</v>
      </c>
      <c r="C9" s="347">
        <v>7</v>
      </c>
      <c r="D9" s="335"/>
      <c r="E9" s="348">
        <v>1.1499999999999999</v>
      </c>
      <c r="F9" s="349">
        <v>0.6</v>
      </c>
      <c r="G9" s="349">
        <v>0.3</v>
      </c>
      <c r="H9" s="348">
        <v>1.1499999999999999</v>
      </c>
      <c r="I9" s="347" t="s">
        <v>578</v>
      </c>
      <c r="J9" s="350"/>
      <c r="K9" s="336"/>
      <c r="L9" s="336"/>
      <c r="M9" s="336"/>
      <c r="N9" s="336"/>
      <c r="O9" s="336"/>
      <c r="P9" s="336"/>
      <c r="Q9" s="336"/>
      <c r="R9" s="336"/>
      <c r="S9" s="336"/>
      <c r="T9" s="336"/>
      <c r="U9" s="351"/>
      <c r="V9" s="352" t="s">
        <v>379</v>
      </c>
      <c r="W9" s="323"/>
      <c r="X9" s="324">
        <v>4.84</v>
      </c>
      <c r="Z9" s="48" t="str">
        <f t="shared" si="0"/>
        <v>-</v>
      </c>
      <c r="AA9" s="48" t="str">
        <f t="shared" si="1"/>
        <v>-</v>
      </c>
      <c r="AB9" s="48" t="str">
        <f t="shared" si="2"/>
        <v>-</v>
      </c>
      <c r="AC9" s="48" t="str">
        <f t="shared" si="3"/>
        <v>-</v>
      </c>
      <c r="AD9" s="48">
        <f t="shared" si="4"/>
        <v>4.84</v>
      </c>
      <c r="AE9" s="48" t="str">
        <f t="shared" si="5"/>
        <v>-</v>
      </c>
      <c r="AF9" s="48" t="str">
        <f t="shared" si="6"/>
        <v>-</v>
      </c>
      <c r="AG9" s="48" t="str">
        <f t="shared" si="7"/>
        <v>-</v>
      </c>
    </row>
    <row r="10" spans="1:49" ht="15" thickBot="1" x14ac:dyDescent="0.35">
      <c r="A10" s="574"/>
      <c r="B10" s="346" t="s">
        <v>534</v>
      </c>
      <c r="C10" s="347">
        <v>8</v>
      </c>
      <c r="D10" s="335"/>
      <c r="E10" s="348">
        <v>1.1499999999999999</v>
      </c>
      <c r="F10" s="349">
        <v>0.6</v>
      </c>
      <c r="G10" s="349">
        <v>0.3</v>
      </c>
      <c r="H10" s="348">
        <v>1.1499999999999999</v>
      </c>
      <c r="I10" s="347" t="s">
        <v>578</v>
      </c>
      <c r="J10" s="350"/>
      <c r="K10" s="336"/>
      <c r="L10" s="336"/>
      <c r="M10" s="336"/>
      <c r="N10" s="336"/>
      <c r="O10" s="336"/>
      <c r="P10" s="336"/>
      <c r="Q10" s="336"/>
      <c r="R10" s="336"/>
      <c r="S10" s="336"/>
      <c r="T10" s="336"/>
      <c r="U10" s="351"/>
      <c r="V10" s="352" t="s">
        <v>379</v>
      </c>
      <c r="W10" s="323"/>
      <c r="X10" s="324">
        <v>4.74</v>
      </c>
      <c r="Z10" s="48" t="str">
        <f t="shared" si="0"/>
        <v>-</v>
      </c>
      <c r="AA10" s="48" t="str">
        <f t="shared" si="1"/>
        <v>-</v>
      </c>
      <c r="AB10" s="48" t="str">
        <f t="shared" si="2"/>
        <v>-</v>
      </c>
      <c r="AC10" s="48" t="str">
        <f t="shared" si="3"/>
        <v>-</v>
      </c>
      <c r="AD10" s="48">
        <f t="shared" si="4"/>
        <v>4.74</v>
      </c>
      <c r="AE10" s="48" t="str">
        <f t="shared" si="5"/>
        <v>-</v>
      </c>
      <c r="AF10" s="48" t="str">
        <f t="shared" si="6"/>
        <v>-</v>
      </c>
      <c r="AG10" s="48" t="str">
        <f t="shared" si="7"/>
        <v>-</v>
      </c>
    </row>
    <row r="11" spans="1:49" ht="15" thickBot="1" x14ac:dyDescent="0.35">
      <c r="A11" s="574"/>
      <c r="B11" s="346" t="s">
        <v>534</v>
      </c>
      <c r="C11" s="347">
        <v>9</v>
      </c>
      <c r="D11" s="335"/>
      <c r="E11" s="348">
        <v>1.1499999999999999</v>
      </c>
      <c r="F11" s="349">
        <v>0.6</v>
      </c>
      <c r="G11" s="349">
        <v>0.3</v>
      </c>
      <c r="H11" s="348">
        <v>1.1499999999999999</v>
      </c>
      <c r="I11" s="347" t="s">
        <v>578</v>
      </c>
      <c r="J11" s="350"/>
      <c r="K11" s="336"/>
      <c r="L11" s="336"/>
      <c r="M11" s="336"/>
      <c r="N11" s="336"/>
      <c r="O11" s="336"/>
      <c r="P11" s="336"/>
      <c r="Q11" s="336"/>
      <c r="R11" s="336"/>
      <c r="S11" s="336"/>
      <c r="T11" s="336"/>
      <c r="U11" s="351"/>
      <c r="V11" s="352" t="s">
        <v>379</v>
      </c>
      <c r="W11" s="323"/>
      <c r="X11" s="324">
        <v>4.7</v>
      </c>
      <c r="Z11" s="48" t="str">
        <f t="shared" si="0"/>
        <v>-</v>
      </c>
      <c r="AA11" s="48" t="str">
        <f t="shared" si="1"/>
        <v>-</v>
      </c>
      <c r="AB11" s="48" t="str">
        <f t="shared" si="2"/>
        <v>-</v>
      </c>
      <c r="AC11" s="48" t="str">
        <f t="shared" si="3"/>
        <v>-</v>
      </c>
      <c r="AD11" s="48">
        <f t="shared" si="4"/>
        <v>4.7</v>
      </c>
      <c r="AE11" s="48" t="str">
        <f t="shared" si="5"/>
        <v>-</v>
      </c>
      <c r="AF11" s="48" t="str">
        <f t="shared" si="6"/>
        <v>-</v>
      </c>
      <c r="AG11" s="48" t="str">
        <f t="shared" si="7"/>
        <v>-</v>
      </c>
    </row>
    <row r="12" spans="1:49" ht="15" thickBot="1" x14ac:dyDescent="0.35">
      <c r="A12" s="574"/>
      <c r="B12" s="346" t="s">
        <v>534</v>
      </c>
      <c r="C12" s="347">
        <v>10</v>
      </c>
      <c r="D12" s="335"/>
      <c r="E12" s="348">
        <v>1.1499999999999999</v>
      </c>
      <c r="F12" s="349">
        <v>0.6</v>
      </c>
      <c r="G12" s="349">
        <v>0.3</v>
      </c>
      <c r="H12" s="348">
        <v>1.1499999999999999</v>
      </c>
      <c r="I12" s="347" t="s">
        <v>578</v>
      </c>
      <c r="J12" s="350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51"/>
      <c r="V12" s="352" t="s">
        <v>379</v>
      </c>
      <c r="W12" s="323"/>
      <c r="X12" s="324">
        <v>4.5999999999999996</v>
      </c>
      <c r="Z12" s="48" t="str">
        <f t="shared" si="0"/>
        <v>-</v>
      </c>
      <c r="AA12" s="48" t="str">
        <f t="shared" si="1"/>
        <v>-</v>
      </c>
      <c r="AB12" s="48" t="str">
        <f t="shared" si="2"/>
        <v>-</v>
      </c>
      <c r="AC12" s="48" t="str">
        <f t="shared" si="3"/>
        <v>-</v>
      </c>
      <c r="AD12" s="48">
        <f t="shared" si="4"/>
        <v>4.5999999999999996</v>
      </c>
      <c r="AE12" s="48" t="str">
        <f t="shared" si="5"/>
        <v>-</v>
      </c>
      <c r="AF12" s="48" t="str">
        <f t="shared" si="6"/>
        <v>-</v>
      </c>
      <c r="AG12" s="48" t="str">
        <f t="shared" si="7"/>
        <v>-</v>
      </c>
    </row>
    <row r="13" spans="1:49" ht="15" thickBot="1" x14ac:dyDescent="0.35">
      <c r="A13" s="574"/>
      <c r="B13" s="346" t="s">
        <v>534</v>
      </c>
      <c r="C13" s="347">
        <v>11</v>
      </c>
      <c r="D13" s="335"/>
      <c r="E13" s="348">
        <v>0.8</v>
      </c>
      <c r="F13" s="349">
        <v>0.6</v>
      </c>
      <c r="G13" s="349">
        <v>0.3</v>
      </c>
      <c r="H13" s="348">
        <v>0.8</v>
      </c>
      <c r="I13" s="347" t="s">
        <v>578</v>
      </c>
      <c r="J13" s="350"/>
      <c r="K13" s="336"/>
      <c r="L13" s="336"/>
      <c r="M13" s="336"/>
      <c r="N13" s="336"/>
      <c r="O13" s="336"/>
      <c r="P13" s="336"/>
      <c r="Q13" s="336"/>
      <c r="R13" s="336"/>
      <c r="S13" s="336"/>
      <c r="T13" s="336"/>
      <c r="U13" s="351"/>
      <c r="V13" s="352" t="s">
        <v>379</v>
      </c>
      <c r="W13" s="323"/>
      <c r="X13" s="324">
        <v>4.51</v>
      </c>
      <c r="Z13" s="48">
        <f t="shared" si="0"/>
        <v>4.51</v>
      </c>
      <c r="AA13" s="48" t="str">
        <f t="shared" si="1"/>
        <v>-</v>
      </c>
      <c r="AB13" s="48" t="str">
        <f t="shared" si="2"/>
        <v>-</v>
      </c>
      <c r="AC13" s="48" t="str">
        <f t="shared" si="3"/>
        <v>-</v>
      </c>
      <c r="AD13" s="48" t="str">
        <f t="shared" si="4"/>
        <v>-</v>
      </c>
      <c r="AE13" s="48" t="str">
        <f t="shared" si="5"/>
        <v>-</v>
      </c>
      <c r="AF13" s="48" t="str">
        <f t="shared" si="6"/>
        <v>-</v>
      </c>
      <c r="AG13" s="48" t="str">
        <f t="shared" si="7"/>
        <v>-</v>
      </c>
    </row>
    <row r="14" spans="1:49" ht="15" thickBot="1" x14ac:dyDescent="0.35">
      <c r="A14" s="574"/>
      <c r="B14" s="346" t="s">
        <v>534</v>
      </c>
      <c r="C14" s="347">
        <v>12</v>
      </c>
      <c r="D14" s="335"/>
      <c r="E14" s="348">
        <v>0.8</v>
      </c>
      <c r="F14" s="349">
        <v>0.6</v>
      </c>
      <c r="G14" s="349">
        <v>0.3</v>
      </c>
      <c r="H14" s="348">
        <v>0.8</v>
      </c>
      <c r="I14" s="347" t="s">
        <v>578</v>
      </c>
      <c r="J14" s="350"/>
      <c r="K14" s="336"/>
      <c r="L14" s="336"/>
      <c r="M14" s="336"/>
      <c r="N14" s="336"/>
      <c r="O14" s="336"/>
      <c r="P14" s="336"/>
      <c r="Q14" s="336"/>
      <c r="R14" s="336"/>
      <c r="S14" s="336"/>
      <c r="T14" s="336"/>
      <c r="U14" s="351"/>
      <c r="V14" s="352" t="s">
        <v>379</v>
      </c>
      <c r="W14" s="323"/>
      <c r="X14" s="324">
        <v>4.38</v>
      </c>
      <c r="Z14" s="48">
        <f t="shared" si="0"/>
        <v>4.38</v>
      </c>
      <c r="AA14" s="48" t="str">
        <f t="shared" si="1"/>
        <v>-</v>
      </c>
      <c r="AB14" s="48" t="str">
        <f t="shared" si="2"/>
        <v>-</v>
      </c>
      <c r="AC14" s="48" t="str">
        <f t="shared" si="3"/>
        <v>-</v>
      </c>
      <c r="AD14" s="48" t="str">
        <f t="shared" si="4"/>
        <v>-</v>
      </c>
      <c r="AE14" s="48" t="str">
        <f t="shared" si="5"/>
        <v>-</v>
      </c>
      <c r="AF14" s="48" t="str">
        <f t="shared" si="6"/>
        <v>-</v>
      </c>
      <c r="AG14" s="48" t="str">
        <f t="shared" si="7"/>
        <v>-</v>
      </c>
    </row>
    <row r="15" spans="1:49" ht="15" thickBot="1" x14ac:dyDescent="0.35">
      <c r="A15" s="574"/>
      <c r="B15" s="346" t="s">
        <v>534</v>
      </c>
      <c r="C15" s="347">
        <v>13</v>
      </c>
      <c r="D15" s="335"/>
      <c r="E15" s="348">
        <v>0.8</v>
      </c>
      <c r="F15" s="349">
        <v>0.6</v>
      </c>
      <c r="G15" s="349">
        <v>0.3</v>
      </c>
      <c r="H15" s="348">
        <v>0.8</v>
      </c>
      <c r="I15" s="347" t="s">
        <v>578</v>
      </c>
      <c r="J15" s="350"/>
      <c r="K15" s="336"/>
      <c r="L15" s="336"/>
      <c r="M15" s="336"/>
      <c r="N15" s="336"/>
      <c r="O15" s="336"/>
      <c r="P15" s="336"/>
      <c r="Q15" s="336"/>
      <c r="R15" s="336"/>
      <c r="S15" s="336"/>
      <c r="T15" s="336"/>
      <c r="U15" s="351"/>
      <c r="V15" s="352" t="s">
        <v>379</v>
      </c>
      <c r="W15" s="323"/>
      <c r="X15" s="324">
        <v>4.33</v>
      </c>
      <c r="Z15" s="48">
        <f t="shared" si="0"/>
        <v>4.33</v>
      </c>
      <c r="AA15" s="48" t="str">
        <f t="shared" si="1"/>
        <v>-</v>
      </c>
      <c r="AB15" s="48" t="str">
        <f t="shared" si="2"/>
        <v>-</v>
      </c>
      <c r="AC15" s="48" t="str">
        <f t="shared" si="3"/>
        <v>-</v>
      </c>
      <c r="AD15" s="48" t="str">
        <f t="shared" si="4"/>
        <v>-</v>
      </c>
      <c r="AE15" s="48" t="str">
        <f t="shared" si="5"/>
        <v>-</v>
      </c>
      <c r="AF15" s="48" t="str">
        <f t="shared" si="6"/>
        <v>-</v>
      </c>
      <c r="AG15" s="48" t="str">
        <f t="shared" si="7"/>
        <v>-</v>
      </c>
    </row>
    <row r="16" spans="1:49" ht="15" thickBot="1" x14ac:dyDescent="0.35">
      <c r="A16" s="577"/>
      <c r="B16" s="353" t="s">
        <v>534</v>
      </c>
      <c r="C16" s="354">
        <v>14</v>
      </c>
      <c r="D16" s="355"/>
      <c r="E16" s="356">
        <v>0.8</v>
      </c>
      <c r="F16" s="357">
        <v>0.6</v>
      </c>
      <c r="G16" s="357">
        <v>0.3</v>
      </c>
      <c r="H16" s="356">
        <v>0.8</v>
      </c>
      <c r="I16" s="354" t="s">
        <v>578</v>
      </c>
      <c r="J16" s="358"/>
      <c r="K16" s="359"/>
      <c r="L16" s="359"/>
      <c r="M16" s="359"/>
      <c r="N16" s="359"/>
      <c r="O16" s="359"/>
      <c r="P16" s="359"/>
      <c r="Q16" s="359"/>
      <c r="R16" s="359"/>
      <c r="S16" s="359"/>
      <c r="T16" s="359"/>
      <c r="U16" s="360"/>
      <c r="V16" s="361" t="s">
        <v>379</v>
      </c>
      <c r="W16" s="325"/>
      <c r="X16" s="326">
        <v>4.33</v>
      </c>
      <c r="Z16" s="48">
        <f t="shared" si="0"/>
        <v>4.33</v>
      </c>
      <c r="AA16" s="48" t="str">
        <f t="shared" si="1"/>
        <v>-</v>
      </c>
      <c r="AB16" s="48" t="str">
        <f t="shared" si="2"/>
        <v>-</v>
      </c>
      <c r="AC16" s="48" t="str">
        <f t="shared" si="3"/>
        <v>-</v>
      </c>
      <c r="AD16" s="48" t="str">
        <f t="shared" si="4"/>
        <v>-</v>
      </c>
      <c r="AE16" s="48" t="str">
        <f t="shared" si="5"/>
        <v>-</v>
      </c>
      <c r="AF16" s="48" t="str">
        <f t="shared" si="6"/>
        <v>-</v>
      </c>
      <c r="AG16" s="48" t="str">
        <f t="shared" si="7"/>
        <v>-</v>
      </c>
    </row>
    <row r="17" spans="1:33" ht="15" thickBot="1" x14ac:dyDescent="0.35">
      <c r="A17" s="573" t="s">
        <v>126</v>
      </c>
      <c r="B17" s="362" t="s">
        <v>534</v>
      </c>
      <c r="C17" s="363">
        <v>1</v>
      </c>
      <c r="D17" s="335"/>
      <c r="E17" s="364">
        <v>0.8</v>
      </c>
      <c r="F17" s="365">
        <v>0.6</v>
      </c>
      <c r="G17" s="365">
        <v>0.3</v>
      </c>
      <c r="H17" s="364">
        <v>0.8</v>
      </c>
      <c r="I17" s="363" t="s">
        <v>578</v>
      </c>
      <c r="J17" s="366"/>
      <c r="K17" s="336"/>
      <c r="L17" s="336"/>
      <c r="M17" s="336"/>
      <c r="N17" s="336"/>
      <c r="O17" s="336"/>
      <c r="P17" s="336"/>
      <c r="Q17" s="336"/>
      <c r="R17" s="336"/>
      <c r="S17" s="336"/>
      <c r="T17" s="336"/>
      <c r="U17" s="351"/>
      <c r="V17" s="352" t="s">
        <v>379</v>
      </c>
      <c r="W17" s="327"/>
      <c r="X17" s="328">
        <v>3.74</v>
      </c>
      <c r="Z17" s="48">
        <f t="shared" si="0"/>
        <v>3.74</v>
      </c>
      <c r="AA17" s="48" t="str">
        <f t="shared" si="1"/>
        <v>-</v>
      </c>
      <c r="AB17" s="48" t="str">
        <f t="shared" si="2"/>
        <v>-</v>
      </c>
      <c r="AC17" s="48" t="str">
        <f t="shared" si="3"/>
        <v>-</v>
      </c>
      <c r="AD17" s="48" t="str">
        <f t="shared" si="4"/>
        <v>-</v>
      </c>
      <c r="AE17" s="48" t="str">
        <f t="shared" si="5"/>
        <v>-</v>
      </c>
      <c r="AF17" s="48" t="str">
        <f t="shared" si="6"/>
        <v>-</v>
      </c>
      <c r="AG17" s="48" t="str">
        <f t="shared" si="7"/>
        <v>-</v>
      </c>
    </row>
    <row r="18" spans="1:33" ht="15" thickBot="1" x14ac:dyDescent="0.35">
      <c r="A18" s="574"/>
      <c r="B18" s="346" t="s">
        <v>535</v>
      </c>
      <c r="C18" s="347">
        <v>2</v>
      </c>
      <c r="D18" s="335"/>
      <c r="E18" s="348">
        <v>0.8</v>
      </c>
      <c r="F18" s="349">
        <v>0.6</v>
      </c>
      <c r="G18" s="349">
        <v>0.3</v>
      </c>
      <c r="H18" s="348">
        <v>0.8</v>
      </c>
      <c r="I18" s="347" t="s">
        <v>578</v>
      </c>
      <c r="J18" s="350"/>
      <c r="K18" s="336"/>
      <c r="L18" s="336"/>
      <c r="M18" s="336"/>
      <c r="N18" s="336"/>
      <c r="O18" s="336"/>
      <c r="P18" s="336"/>
      <c r="Q18" s="336"/>
      <c r="R18" s="336"/>
      <c r="S18" s="336"/>
      <c r="T18" s="336"/>
      <c r="U18" s="351"/>
      <c r="V18" s="352" t="s">
        <v>379</v>
      </c>
      <c r="W18" s="323">
        <v>1</v>
      </c>
      <c r="X18" s="324">
        <v>0.64</v>
      </c>
      <c r="Z18" s="48">
        <f t="shared" si="0"/>
        <v>0.64</v>
      </c>
      <c r="AA18" s="48" t="str">
        <f t="shared" si="1"/>
        <v>-</v>
      </c>
      <c r="AB18" s="48" t="str">
        <f t="shared" si="2"/>
        <v>-</v>
      </c>
      <c r="AC18" s="48" t="str">
        <f t="shared" si="3"/>
        <v>-</v>
      </c>
      <c r="AD18" s="48" t="str">
        <f t="shared" si="4"/>
        <v>-</v>
      </c>
      <c r="AE18" s="48" t="str">
        <f t="shared" si="5"/>
        <v>-</v>
      </c>
      <c r="AF18" s="48" t="str">
        <f t="shared" si="6"/>
        <v>-</v>
      </c>
      <c r="AG18" s="48" t="str">
        <f t="shared" si="7"/>
        <v>-</v>
      </c>
    </row>
    <row r="19" spans="1:33" ht="15" thickBot="1" x14ac:dyDescent="0.35">
      <c r="A19" s="574"/>
      <c r="B19" s="346" t="s">
        <v>536</v>
      </c>
      <c r="C19" s="347">
        <v>985</v>
      </c>
      <c r="D19" s="335"/>
      <c r="E19" s="348">
        <v>0.8</v>
      </c>
      <c r="F19" s="349">
        <v>0.6</v>
      </c>
      <c r="G19" s="349">
        <v>0.3</v>
      </c>
      <c r="H19" s="348">
        <v>0.8</v>
      </c>
      <c r="I19" s="347" t="s">
        <v>578</v>
      </c>
      <c r="J19" s="350"/>
      <c r="K19" s="336"/>
      <c r="L19" s="336"/>
      <c r="M19" s="336"/>
      <c r="N19" s="336"/>
      <c r="O19" s="336"/>
      <c r="P19" s="336"/>
      <c r="Q19" s="336"/>
      <c r="R19" s="336"/>
      <c r="S19" s="336"/>
      <c r="T19" s="336"/>
      <c r="U19" s="351"/>
      <c r="V19" s="352" t="s">
        <v>379</v>
      </c>
      <c r="W19" s="323">
        <v>1</v>
      </c>
      <c r="X19" s="324">
        <v>0.65</v>
      </c>
      <c r="Z19" s="48">
        <f t="shared" si="0"/>
        <v>0.65</v>
      </c>
      <c r="AA19" s="48" t="str">
        <f t="shared" si="1"/>
        <v>-</v>
      </c>
      <c r="AB19" s="48" t="str">
        <f t="shared" si="2"/>
        <v>-</v>
      </c>
      <c r="AC19" s="48" t="str">
        <f t="shared" si="3"/>
        <v>-</v>
      </c>
      <c r="AD19" s="48" t="str">
        <f t="shared" si="4"/>
        <v>-</v>
      </c>
      <c r="AE19" s="48" t="str">
        <f t="shared" si="5"/>
        <v>-</v>
      </c>
      <c r="AF19" s="48" t="str">
        <f t="shared" si="6"/>
        <v>-</v>
      </c>
      <c r="AG19" s="48" t="str">
        <f t="shared" si="7"/>
        <v>-</v>
      </c>
    </row>
    <row r="20" spans="1:33" ht="15" thickBot="1" x14ac:dyDescent="0.35">
      <c r="A20" s="574"/>
      <c r="B20" s="346" t="s">
        <v>537</v>
      </c>
      <c r="C20" s="347">
        <v>977</v>
      </c>
      <c r="D20" s="335"/>
      <c r="E20" s="348">
        <v>0.8</v>
      </c>
      <c r="F20" s="349">
        <v>0.6</v>
      </c>
      <c r="G20" s="349">
        <v>0.3</v>
      </c>
      <c r="H20" s="348">
        <v>0.8</v>
      </c>
      <c r="I20" s="347" t="s">
        <v>578</v>
      </c>
      <c r="J20" s="350"/>
      <c r="K20" s="336"/>
      <c r="L20" s="336"/>
      <c r="M20" s="336"/>
      <c r="N20" s="336"/>
      <c r="O20" s="336"/>
      <c r="P20" s="336"/>
      <c r="Q20" s="336"/>
      <c r="R20" s="336"/>
      <c r="S20" s="336"/>
      <c r="T20" s="336"/>
      <c r="U20" s="351"/>
      <c r="V20" s="352" t="s">
        <v>379</v>
      </c>
      <c r="W20" s="323"/>
      <c r="X20" s="324">
        <v>1.24</v>
      </c>
      <c r="Z20" s="48">
        <f t="shared" si="0"/>
        <v>1.24</v>
      </c>
      <c r="AA20" s="48" t="str">
        <f t="shared" si="1"/>
        <v>-</v>
      </c>
      <c r="AB20" s="48" t="str">
        <f t="shared" si="2"/>
        <v>-</v>
      </c>
      <c r="AC20" s="48" t="str">
        <f t="shared" si="3"/>
        <v>-</v>
      </c>
      <c r="AD20" s="48" t="str">
        <f t="shared" si="4"/>
        <v>-</v>
      </c>
      <c r="AE20" s="48" t="str">
        <f t="shared" si="5"/>
        <v>-</v>
      </c>
      <c r="AF20" s="48" t="str">
        <f t="shared" si="6"/>
        <v>-</v>
      </c>
      <c r="AG20" s="48" t="str">
        <f t="shared" si="7"/>
        <v>-</v>
      </c>
    </row>
    <row r="21" spans="1:33" ht="15" thickBot="1" x14ac:dyDescent="0.35">
      <c r="A21" s="574"/>
      <c r="B21" s="346" t="s">
        <v>537</v>
      </c>
      <c r="C21" s="347">
        <v>965</v>
      </c>
      <c r="D21" s="335"/>
      <c r="E21" s="348">
        <v>0.8</v>
      </c>
      <c r="F21" s="349">
        <v>0.6</v>
      </c>
      <c r="G21" s="349">
        <v>0.3</v>
      </c>
      <c r="H21" s="348">
        <v>0.8</v>
      </c>
      <c r="I21" s="347" t="s">
        <v>578</v>
      </c>
      <c r="J21" s="350"/>
      <c r="K21" s="336"/>
      <c r="L21" s="336"/>
      <c r="M21" s="336"/>
      <c r="N21" s="336"/>
      <c r="O21" s="336"/>
      <c r="P21" s="336"/>
      <c r="Q21" s="336"/>
      <c r="R21" s="336"/>
      <c r="S21" s="336"/>
      <c r="T21" s="336"/>
      <c r="U21" s="351"/>
      <c r="V21" s="352" t="s">
        <v>379</v>
      </c>
      <c r="W21" s="323"/>
      <c r="X21" s="324">
        <v>1.47</v>
      </c>
      <c r="Z21" s="48">
        <f t="shared" si="0"/>
        <v>1.47</v>
      </c>
      <c r="AA21" s="48" t="str">
        <f t="shared" si="1"/>
        <v>-</v>
      </c>
      <c r="AB21" s="48" t="str">
        <f t="shared" si="2"/>
        <v>-</v>
      </c>
      <c r="AC21" s="48" t="str">
        <f t="shared" si="3"/>
        <v>-</v>
      </c>
      <c r="AD21" s="48" t="str">
        <f t="shared" si="4"/>
        <v>-</v>
      </c>
      <c r="AE21" s="48" t="str">
        <f t="shared" si="5"/>
        <v>-</v>
      </c>
      <c r="AF21" s="48" t="str">
        <f t="shared" si="6"/>
        <v>-</v>
      </c>
      <c r="AG21" s="48" t="str">
        <f t="shared" si="7"/>
        <v>-</v>
      </c>
    </row>
    <row r="22" spans="1:33" ht="15" thickBot="1" x14ac:dyDescent="0.35">
      <c r="A22" s="574"/>
      <c r="B22" s="346" t="s">
        <v>538</v>
      </c>
      <c r="C22" s="347">
        <v>6</v>
      </c>
      <c r="D22" s="335"/>
      <c r="E22" s="348">
        <v>0.8</v>
      </c>
      <c r="F22" s="349">
        <v>0.6</v>
      </c>
      <c r="G22" s="349">
        <v>0.3</v>
      </c>
      <c r="H22" s="348">
        <v>0.8</v>
      </c>
      <c r="I22" s="347" t="s">
        <v>578</v>
      </c>
      <c r="J22" s="350"/>
      <c r="K22" s="336"/>
      <c r="L22" s="336"/>
      <c r="M22" s="336"/>
      <c r="N22" s="336"/>
      <c r="O22" s="336"/>
      <c r="P22" s="336"/>
      <c r="Q22" s="336"/>
      <c r="R22" s="336"/>
      <c r="S22" s="336"/>
      <c r="T22" s="336"/>
      <c r="U22" s="351"/>
      <c r="V22" s="352" t="s">
        <v>379</v>
      </c>
      <c r="W22" s="323">
        <v>1</v>
      </c>
      <c r="X22" s="324">
        <v>1.71</v>
      </c>
      <c r="Z22" s="48">
        <f t="shared" si="0"/>
        <v>1.71</v>
      </c>
      <c r="AA22" s="48" t="str">
        <f t="shared" si="1"/>
        <v>-</v>
      </c>
      <c r="AB22" s="48" t="str">
        <f t="shared" si="2"/>
        <v>-</v>
      </c>
      <c r="AC22" s="48" t="str">
        <f t="shared" si="3"/>
        <v>-</v>
      </c>
      <c r="AD22" s="48" t="str">
        <f t="shared" si="4"/>
        <v>-</v>
      </c>
      <c r="AE22" s="48" t="str">
        <f t="shared" si="5"/>
        <v>-</v>
      </c>
      <c r="AF22" s="48" t="str">
        <f t="shared" si="6"/>
        <v>-</v>
      </c>
      <c r="AG22" s="48" t="str">
        <f t="shared" si="7"/>
        <v>-</v>
      </c>
    </row>
    <row r="23" spans="1:33" ht="15" thickBot="1" x14ac:dyDescent="0.35">
      <c r="A23" s="574"/>
      <c r="B23" s="346" t="s">
        <v>538</v>
      </c>
      <c r="C23" s="347">
        <v>142</v>
      </c>
      <c r="D23" s="335"/>
      <c r="E23" s="348">
        <v>0.8</v>
      </c>
      <c r="F23" s="349">
        <v>0.6</v>
      </c>
      <c r="G23" s="349">
        <v>0.3</v>
      </c>
      <c r="H23" s="348">
        <v>0.8</v>
      </c>
      <c r="I23" s="347" t="s">
        <v>578</v>
      </c>
      <c r="J23" s="350"/>
      <c r="K23" s="336"/>
      <c r="L23" s="336"/>
      <c r="M23" s="336"/>
      <c r="N23" s="336"/>
      <c r="O23" s="336"/>
      <c r="P23" s="336"/>
      <c r="Q23" s="336"/>
      <c r="R23" s="336"/>
      <c r="S23" s="336"/>
      <c r="T23" s="336"/>
      <c r="U23" s="351"/>
      <c r="V23" s="352" t="s">
        <v>379</v>
      </c>
      <c r="W23" s="323">
        <v>1</v>
      </c>
      <c r="X23" s="324">
        <v>1.72</v>
      </c>
      <c r="Z23" s="48">
        <f t="shared" si="0"/>
        <v>1.72</v>
      </c>
      <c r="AA23" s="48" t="str">
        <f t="shared" si="1"/>
        <v>-</v>
      </c>
      <c r="AB23" s="48" t="str">
        <f t="shared" si="2"/>
        <v>-</v>
      </c>
      <c r="AC23" s="48" t="str">
        <f t="shared" si="3"/>
        <v>-</v>
      </c>
      <c r="AD23" s="48" t="str">
        <f t="shared" si="4"/>
        <v>-</v>
      </c>
      <c r="AE23" s="48" t="str">
        <f t="shared" si="5"/>
        <v>-</v>
      </c>
      <c r="AF23" s="48" t="str">
        <f t="shared" si="6"/>
        <v>-</v>
      </c>
      <c r="AG23" s="48" t="str">
        <f t="shared" si="7"/>
        <v>-</v>
      </c>
    </row>
    <row r="24" spans="1:33" ht="15" thickBot="1" x14ac:dyDescent="0.35">
      <c r="A24" s="574"/>
      <c r="B24" s="346" t="s">
        <v>538</v>
      </c>
      <c r="C24" s="347">
        <v>8</v>
      </c>
      <c r="D24" s="335"/>
      <c r="E24" s="348">
        <v>0.8</v>
      </c>
      <c r="F24" s="349">
        <v>0.6</v>
      </c>
      <c r="G24" s="349">
        <v>0.3</v>
      </c>
      <c r="H24" s="348">
        <v>0.8</v>
      </c>
      <c r="I24" s="347" t="s">
        <v>578</v>
      </c>
      <c r="J24" s="350"/>
      <c r="K24" s="336"/>
      <c r="L24" s="336"/>
      <c r="M24" s="336"/>
      <c r="N24" s="336"/>
      <c r="O24" s="336"/>
      <c r="P24" s="336"/>
      <c r="Q24" s="336"/>
      <c r="R24" s="336"/>
      <c r="S24" s="336"/>
      <c r="T24" s="336"/>
      <c r="U24" s="351"/>
      <c r="V24" s="352" t="s">
        <v>379</v>
      </c>
      <c r="W24" s="323">
        <v>1</v>
      </c>
      <c r="X24" s="324">
        <v>1.64</v>
      </c>
      <c r="Z24" s="48">
        <f t="shared" si="0"/>
        <v>1.64</v>
      </c>
      <c r="AA24" s="48" t="str">
        <f t="shared" si="1"/>
        <v>-</v>
      </c>
      <c r="AB24" s="48" t="str">
        <f t="shared" si="2"/>
        <v>-</v>
      </c>
      <c r="AC24" s="48" t="str">
        <f t="shared" si="3"/>
        <v>-</v>
      </c>
      <c r="AD24" s="48" t="str">
        <f t="shared" si="4"/>
        <v>-</v>
      </c>
      <c r="AE24" s="48" t="str">
        <f t="shared" si="5"/>
        <v>-</v>
      </c>
      <c r="AF24" s="48" t="str">
        <f t="shared" si="6"/>
        <v>-</v>
      </c>
      <c r="AG24" s="48" t="str">
        <f t="shared" si="7"/>
        <v>-</v>
      </c>
    </row>
    <row r="25" spans="1:33" ht="15" thickBot="1" x14ac:dyDescent="0.35">
      <c r="A25" s="575"/>
      <c r="B25" s="367" t="s">
        <v>538</v>
      </c>
      <c r="C25" s="368">
        <v>160</v>
      </c>
      <c r="D25" s="335"/>
      <c r="E25" s="369">
        <v>0.8</v>
      </c>
      <c r="F25" s="370">
        <v>0.6</v>
      </c>
      <c r="G25" s="370">
        <v>0.3</v>
      </c>
      <c r="H25" s="369">
        <v>0.8</v>
      </c>
      <c r="I25" s="368" t="s">
        <v>578</v>
      </c>
      <c r="J25" s="371"/>
      <c r="K25" s="336"/>
      <c r="L25" s="336"/>
      <c r="M25" s="336"/>
      <c r="N25" s="336"/>
      <c r="O25" s="336"/>
      <c r="P25" s="336"/>
      <c r="Q25" s="336"/>
      <c r="R25" s="336"/>
      <c r="S25" s="336"/>
      <c r="T25" s="336"/>
      <c r="U25" s="351"/>
      <c r="V25" s="352" t="s">
        <v>379</v>
      </c>
      <c r="W25" s="329">
        <v>1</v>
      </c>
      <c r="X25" s="330">
        <v>1.67</v>
      </c>
      <c r="Z25" s="48">
        <f t="shared" si="0"/>
        <v>1.67</v>
      </c>
      <c r="AA25" s="48" t="str">
        <f t="shared" si="1"/>
        <v>-</v>
      </c>
      <c r="AB25" s="48" t="str">
        <f t="shared" si="2"/>
        <v>-</v>
      </c>
      <c r="AC25" s="48" t="str">
        <f t="shared" si="3"/>
        <v>-</v>
      </c>
      <c r="AD25" s="48" t="str">
        <f t="shared" si="4"/>
        <v>-</v>
      </c>
      <c r="AE25" s="48" t="str">
        <f t="shared" si="5"/>
        <v>-</v>
      </c>
      <c r="AF25" s="48" t="str">
        <f t="shared" si="6"/>
        <v>-</v>
      </c>
      <c r="AG25" s="48" t="str">
        <f t="shared" si="7"/>
        <v>-</v>
      </c>
    </row>
    <row r="26" spans="1:33" ht="15" thickBot="1" x14ac:dyDescent="0.35">
      <c r="A26" s="576" t="s">
        <v>384</v>
      </c>
      <c r="B26" s="337" t="s">
        <v>537</v>
      </c>
      <c r="C26" s="338">
        <v>955</v>
      </c>
      <c r="D26" s="339"/>
      <c r="E26" s="340">
        <v>0.8</v>
      </c>
      <c r="F26" s="341">
        <v>0.6</v>
      </c>
      <c r="G26" s="341">
        <v>0.3</v>
      </c>
      <c r="H26" s="340">
        <v>0.8</v>
      </c>
      <c r="I26" s="338" t="s">
        <v>578</v>
      </c>
      <c r="J26" s="342"/>
      <c r="K26" s="343"/>
      <c r="L26" s="343"/>
      <c r="M26" s="343"/>
      <c r="N26" s="343"/>
      <c r="O26" s="343"/>
      <c r="P26" s="343"/>
      <c r="Q26" s="343"/>
      <c r="R26" s="343"/>
      <c r="S26" s="343"/>
      <c r="T26" s="343"/>
      <c r="U26" s="344"/>
      <c r="V26" s="345" t="s">
        <v>379</v>
      </c>
      <c r="W26" s="321">
        <v>1</v>
      </c>
      <c r="X26" s="322">
        <v>1.63</v>
      </c>
      <c r="Z26" s="48">
        <f t="shared" si="0"/>
        <v>1.63</v>
      </c>
      <c r="AA26" s="48" t="str">
        <f t="shared" si="1"/>
        <v>-</v>
      </c>
      <c r="AB26" s="48" t="str">
        <f t="shared" si="2"/>
        <v>-</v>
      </c>
      <c r="AC26" s="48" t="str">
        <f t="shared" si="3"/>
        <v>-</v>
      </c>
      <c r="AD26" s="48" t="str">
        <f t="shared" si="4"/>
        <v>-</v>
      </c>
      <c r="AE26" s="48" t="str">
        <f t="shared" si="5"/>
        <v>-</v>
      </c>
      <c r="AF26" s="48" t="str">
        <f t="shared" si="6"/>
        <v>-</v>
      </c>
      <c r="AG26" s="48" t="str">
        <f t="shared" si="7"/>
        <v>-</v>
      </c>
    </row>
    <row r="27" spans="1:33" ht="15" thickBot="1" x14ac:dyDescent="0.35">
      <c r="A27" s="574"/>
      <c r="B27" s="346" t="s">
        <v>538</v>
      </c>
      <c r="C27" s="347">
        <v>129</v>
      </c>
      <c r="D27" s="335"/>
      <c r="E27" s="348">
        <v>0.8</v>
      </c>
      <c r="F27" s="349">
        <v>0.6</v>
      </c>
      <c r="G27" s="349">
        <v>0.3</v>
      </c>
      <c r="H27" s="348">
        <v>0.8</v>
      </c>
      <c r="I27" s="347" t="s">
        <v>578</v>
      </c>
      <c r="J27" s="350"/>
      <c r="K27" s="336"/>
      <c r="L27" s="336"/>
      <c r="M27" s="336"/>
      <c r="N27" s="336"/>
      <c r="O27" s="336"/>
      <c r="P27" s="336"/>
      <c r="Q27" s="336"/>
      <c r="R27" s="336"/>
      <c r="S27" s="336"/>
      <c r="T27" s="336"/>
      <c r="U27" s="351"/>
      <c r="V27" s="352" t="s">
        <v>379</v>
      </c>
      <c r="W27" s="323">
        <v>1</v>
      </c>
      <c r="X27" s="324">
        <v>1.54</v>
      </c>
      <c r="Z27" s="48">
        <f t="shared" si="0"/>
        <v>1.54</v>
      </c>
      <c r="AA27" s="48" t="str">
        <f t="shared" si="1"/>
        <v>-</v>
      </c>
      <c r="AB27" s="48" t="str">
        <f t="shared" si="2"/>
        <v>-</v>
      </c>
      <c r="AC27" s="48" t="str">
        <f t="shared" si="3"/>
        <v>-</v>
      </c>
      <c r="AD27" s="48" t="str">
        <f t="shared" si="4"/>
        <v>-</v>
      </c>
      <c r="AE27" s="48" t="str">
        <f t="shared" si="5"/>
        <v>-</v>
      </c>
      <c r="AF27" s="48" t="str">
        <f t="shared" si="6"/>
        <v>-</v>
      </c>
      <c r="AG27" s="48" t="str">
        <f t="shared" si="7"/>
        <v>-</v>
      </c>
    </row>
    <row r="28" spans="1:33" ht="15" thickBot="1" x14ac:dyDescent="0.35">
      <c r="A28" s="574"/>
      <c r="B28" s="346" t="s">
        <v>538</v>
      </c>
      <c r="C28" s="347">
        <v>135</v>
      </c>
      <c r="D28" s="335"/>
      <c r="E28" s="348">
        <v>0.8</v>
      </c>
      <c r="F28" s="349">
        <v>0.6</v>
      </c>
      <c r="G28" s="349">
        <v>0.3</v>
      </c>
      <c r="H28" s="348">
        <v>0.8</v>
      </c>
      <c r="I28" s="347" t="s">
        <v>578</v>
      </c>
      <c r="J28" s="350"/>
      <c r="K28" s="336"/>
      <c r="L28" s="336"/>
      <c r="M28" s="336"/>
      <c r="N28" s="336"/>
      <c r="O28" s="336"/>
      <c r="P28" s="336"/>
      <c r="Q28" s="336"/>
      <c r="R28" s="336"/>
      <c r="S28" s="336"/>
      <c r="T28" s="336"/>
      <c r="U28" s="351"/>
      <c r="V28" s="352" t="s">
        <v>379</v>
      </c>
      <c r="W28" s="323">
        <v>1</v>
      </c>
      <c r="X28" s="324">
        <v>1.54</v>
      </c>
      <c r="Z28" s="48">
        <f t="shared" si="0"/>
        <v>1.54</v>
      </c>
      <c r="AA28" s="48" t="str">
        <f t="shared" si="1"/>
        <v>-</v>
      </c>
      <c r="AB28" s="48" t="str">
        <f t="shared" si="2"/>
        <v>-</v>
      </c>
      <c r="AC28" s="48" t="str">
        <f t="shared" si="3"/>
        <v>-</v>
      </c>
      <c r="AD28" s="48" t="str">
        <f t="shared" si="4"/>
        <v>-</v>
      </c>
      <c r="AE28" s="48" t="str">
        <f t="shared" si="5"/>
        <v>-</v>
      </c>
      <c r="AF28" s="48" t="str">
        <f t="shared" si="6"/>
        <v>-</v>
      </c>
      <c r="AG28" s="48" t="str">
        <f t="shared" si="7"/>
        <v>-</v>
      </c>
    </row>
    <row r="29" spans="1:33" ht="15" thickBot="1" x14ac:dyDescent="0.35">
      <c r="A29" s="574"/>
      <c r="B29" s="346" t="s">
        <v>538</v>
      </c>
      <c r="C29" s="347">
        <v>145</v>
      </c>
      <c r="D29" s="335"/>
      <c r="E29" s="348">
        <v>0.8</v>
      </c>
      <c r="F29" s="349">
        <v>0.6</v>
      </c>
      <c r="G29" s="349">
        <v>0.3</v>
      </c>
      <c r="H29" s="348">
        <v>0.8</v>
      </c>
      <c r="I29" s="347" t="s">
        <v>578</v>
      </c>
      <c r="J29" s="350"/>
      <c r="K29" s="336"/>
      <c r="L29" s="336"/>
      <c r="M29" s="336"/>
      <c r="N29" s="336"/>
      <c r="O29" s="336"/>
      <c r="P29" s="336"/>
      <c r="Q29" s="336"/>
      <c r="R29" s="336"/>
      <c r="S29" s="336"/>
      <c r="T29" s="336"/>
      <c r="U29" s="351"/>
      <c r="V29" s="352" t="s">
        <v>379</v>
      </c>
      <c r="W29" s="323">
        <v>1</v>
      </c>
      <c r="X29" s="324">
        <v>1.54</v>
      </c>
      <c r="Z29" s="48">
        <f t="shared" si="0"/>
        <v>1.54</v>
      </c>
      <c r="AA29" s="48" t="str">
        <f t="shared" si="1"/>
        <v>-</v>
      </c>
      <c r="AB29" s="48" t="str">
        <f t="shared" si="2"/>
        <v>-</v>
      </c>
      <c r="AC29" s="48" t="str">
        <f t="shared" si="3"/>
        <v>-</v>
      </c>
      <c r="AD29" s="48" t="str">
        <f t="shared" si="4"/>
        <v>-</v>
      </c>
      <c r="AE29" s="48" t="str">
        <f t="shared" si="5"/>
        <v>-</v>
      </c>
      <c r="AF29" s="48" t="str">
        <f t="shared" si="6"/>
        <v>-</v>
      </c>
      <c r="AG29" s="48" t="str">
        <f t="shared" si="7"/>
        <v>-</v>
      </c>
    </row>
    <row r="30" spans="1:33" ht="15" thickBot="1" x14ac:dyDescent="0.35">
      <c r="A30" s="574"/>
      <c r="B30" s="346" t="s">
        <v>538</v>
      </c>
      <c r="C30" s="347">
        <v>155</v>
      </c>
      <c r="D30" s="335"/>
      <c r="E30" s="348">
        <v>0.8</v>
      </c>
      <c r="F30" s="349">
        <v>0.6</v>
      </c>
      <c r="G30" s="349">
        <v>0.3</v>
      </c>
      <c r="H30" s="348">
        <v>0.8</v>
      </c>
      <c r="I30" s="347" t="s">
        <v>578</v>
      </c>
      <c r="J30" s="350"/>
      <c r="K30" s="336"/>
      <c r="L30" s="336"/>
      <c r="M30" s="336"/>
      <c r="N30" s="336"/>
      <c r="O30" s="336"/>
      <c r="P30" s="336"/>
      <c r="Q30" s="336"/>
      <c r="R30" s="336"/>
      <c r="S30" s="336"/>
      <c r="T30" s="336"/>
      <c r="U30" s="351"/>
      <c r="V30" s="352" t="s">
        <v>379</v>
      </c>
      <c r="W30" s="323">
        <v>1</v>
      </c>
      <c r="X30" s="324">
        <v>1.54</v>
      </c>
      <c r="Z30" s="48">
        <f t="shared" si="0"/>
        <v>1.54</v>
      </c>
      <c r="AA30" s="48" t="str">
        <f t="shared" si="1"/>
        <v>-</v>
      </c>
      <c r="AB30" s="48" t="str">
        <f t="shared" si="2"/>
        <v>-</v>
      </c>
      <c r="AC30" s="48" t="str">
        <f t="shared" si="3"/>
        <v>-</v>
      </c>
      <c r="AD30" s="48" t="str">
        <f t="shared" si="4"/>
        <v>-</v>
      </c>
      <c r="AE30" s="48" t="str">
        <f t="shared" si="5"/>
        <v>-</v>
      </c>
      <c r="AF30" s="48" t="str">
        <f t="shared" si="6"/>
        <v>-</v>
      </c>
      <c r="AG30" s="48" t="str">
        <f t="shared" si="7"/>
        <v>-</v>
      </c>
    </row>
    <row r="31" spans="1:33" ht="15" thickBot="1" x14ac:dyDescent="0.35">
      <c r="A31" s="574"/>
      <c r="B31" s="346" t="s">
        <v>538</v>
      </c>
      <c r="C31" s="347">
        <v>165</v>
      </c>
      <c r="D31" s="335"/>
      <c r="E31" s="348">
        <v>0.8</v>
      </c>
      <c r="F31" s="349">
        <v>0.6</v>
      </c>
      <c r="G31" s="349">
        <v>0.3</v>
      </c>
      <c r="H31" s="348">
        <v>0.8</v>
      </c>
      <c r="I31" s="347" t="s">
        <v>578</v>
      </c>
      <c r="J31" s="350"/>
      <c r="K31" s="336"/>
      <c r="L31" s="336"/>
      <c r="M31" s="336"/>
      <c r="N31" s="336"/>
      <c r="O31" s="336"/>
      <c r="P31" s="336"/>
      <c r="Q31" s="336"/>
      <c r="R31" s="336"/>
      <c r="S31" s="336"/>
      <c r="T31" s="336"/>
      <c r="U31" s="351"/>
      <c r="V31" s="352" t="s">
        <v>379</v>
      </c>
      <c r="W31" s="323">
        <v>1</v>
      </c>
      <c r="X31" s="324">
        <v>1.54</v>
      </c>
      <c r="Z31" s="48">
        <f t="shared" si="0"/>
        <v>1.54</v>
      </c>
      <c r="AA31" s="48" t="str">
        <f t="shared" si="1"/>
        <v>-</v>
      </c>
      <c r="AB31" s="48" t="str">
        <f t="shared" si="2"/>
        <v>-</v>
      </c>
      <c r="AC31" s="48" t="str">
        <f t="shared" si="3"/>
        <v>-</v>
      </c>
      <c r="AD31" s="48" t="str">
        <f t="shared" si="4"/>
        <v>-</v>
      </c>
      <c r="AE31" s="48" t="str">
        <f t="shared" si="5"/>
        <v>-</v>
      </c>
      <c r="AF31" s="48" t="str">
        <f t="shared" si="6"/>
        <v>-</v>
      </c>
      <c r="AG31" s="48" t="str">
        <f t="shared" si="7"/>
        <v>-</v>
      </c>
    </row>
    <row r="32" spans="1:33" ht="15" thickBot="1" x14ac:dyDescent="0.35">
      <c r="A32" s="574"/>
      <c r="B32" s="346" t="s">
        <v>539</v>
      </c>
      <c r="C32" s="347">
        <v>935</v>
      </c>
      <c r="D32" s="335"/>
      <c r="E32" s="348">
        <v>0.8</v>
      </c>
      <c r="F32" s="349">
        <v>0.6</v>
      </c>
      <c r="G32" s="349">
        <v>0.3</v>
      </c>
      <c r="H32" s="348">
        <v>0.8</v>
      </c>
      <c r="I32" s="347" t="s">
        <v>578</v>
      </c>
      <c r="J32" s="350"/>
      <c r="K32" s="336"/>
      <c r="L32" s="336"/>
      <c r="M32" s="336"/>
      <c r="N32" s="336"/>
      <c r="O32" s="336"/>
      <c r="P32" s="336"/>
      <c r="Q32" s="336"/>
      <c r="R32" s="336"/>
      <c r="S32" s="336"/>
      <c r="T32" s="336"/>
      <c r="U32" s="351"/>
      <c r="V32" s="352" t="s">
        <v>379</v>
      </c>
      <c r="W32" s="323">
        <v>1</v>
      </c>
      <c r="X32" s="324">
        <v>1.83</v>
      </c>
      <c r="Z32" s="48">
        <f t="shared" si="0"/>
        <v>1.83</v>
      </c>
      <c r="AA32" s="48" t="str">
        <f t="shared" si="1"/>
        <v>-</v>
      </c>
      <c r="AB32" s="48" t="str">
        <f t="shared" si="2"/>
        <v>-</v>
      </c>
      <c r="AC32" s="48" t="str">
        <f t="shared" si="3"/>
        <v>-</v>
      </c>
      <c r="AD32" s="48" t="str">
        <f t="shared" si="4"/>
        <v>-</v>
      </c>
      <c r="AE32" s="48" t="str">
        <f t="shared" si="5"/>
        <v>-</v>
      </c>
      <c r="AF32" s="48" t="str">
        <f t="shared" si="6"/>
        <v>-</v>
      </c>
      <c r="AG32" s="48" t="str">
        <f t="shared" si="7"/>
        <v>-</v>
      </c>
    </row>
    <row r="33" spans="1:33" ht="15" thickBot="1" x14ac:dyDescent="0.35">
      <c r="A33" s="574"/>
      <c r="B33" s="346" t="s">
        <v>539</v>
      </c>
      <c r="C33" s="347">
        <v>120</v>
      </c>
      <c r="D33" s="335"/>
      <c r="E33" s="348">
        <v>0.8</v>
      </c>
      <c r="F33" s="349">
        <v>0.6</v>
      </c>
      <c r="G33" s="349">
        <v>0.3</v>
      </c>
      <c r="H33" s="348">
        <v>0.8</v>
      </c>
      <c r="I33" s="347" t="s">
        <v>578</v>
      </c>
      <c r="J33" s="350"/>
      <c r="K33" s="336"/>
      <c r="L33" s="336"/>
      <c r="M33" s="336"/>
      <c r="N33" s="336"/>
      <c r="O33" s="336"/>
      <c r="P33" s="336"/>
      <c r="Q33" s="336"/>
      <c r="R33" s="336"/>
      <c r="S33" s="336"/>
      <c r="T33" s="336"/>
      <c r="U33" s="351"/>
      <c r="V33" s="352" t="s">
        <v>379</v>
      </c>
      <c r="W33" s="323">
        <v>1</v>
      </c>
      <c r="X33" s="324">
        <v>1.86</v>
      </c>
      <c r="Z33" s="48">
        <f t="shared" si="0"/>
        <v>1.86</v>
      </c>
      <c r="AA33" s="48" t="str">
        <f t="shared" si="1"/>
        <v>-</v>
      </c>
      <c r="AB33" s="48" t="str">
        <f t="shared" si="2"/>
        <v>-</v>
      </c>
      <c r="AC33" s="48" t="str">
        <f t="shared" si="3"/>
        <v>-</v>
      </c>
      <c r="AD33" s="48" t="str">
        <f t="shared" si="4"/>
        <v>-</v>
      </c>
      <c r="AE33" s="48" t="str">
        <f t="shared" si="5"/>
        <v>-</v>
      </c>
      <c r="AF33" s="48" t="str">
        <f t="shared" si="6"/>
        <v>-</v>
      </c>
      <c r="AG33" s="48" t="str">
        <f t="shared" si="7"/>
        <v>-</v>
      </c>
    </row>
    <row r="34" spans="1:33" ht="15" thickBot="1" x14ac:dyDescent="0.35">
      <c r="A34" s="574"/>
      <c r="B34" s="346" t="s">
        <v>539</v>
      </c>
      <c r="C34" s="347">
        <v>9</v>
      </c>
      <c r="D34" s="335"/>
      <c r="E34" s="348">
        <v>0.8</v>
      </c>
      <c r="F34" s="349">
        <v>0.6</v>
      </c>
      <c r="G34" s="349">
        <v>0.3</v>
      </c>
      <c r="H34" s="348">
        <v>0.8</v>
      </c>
      <c r="I34" s="347" t="s">
        <v>578</v>
      </c>
      <c r="J34" s="350"/>
      <c r="K34" s="336"/>
      <c r="L34" s="336"/>
      <c r="M34" s="336"/>
      <c r="N34" s="336"/>
      <c r="O34" s="336"/>
      <c r="P34" s="336"/>
      <c r="Q34" s="336"/>
      <c r="R34" s="336"/>
      <c r="S34" s="336"/>
      <c r="T34" s="336"/>
      <c r="U34" s="351"/>
      <c r="V34" s="352" t="s">
        <v>379</v>
      </c>
      <c r="W34" s="323">
        <v>1</v>
      </c>
      <c r="X34" s="324">
        <v>1.87</v>
      </c>
      <c r="Z34" s="48">
        <f t="shared" si="0"/>
        <v>1.87</v>
      </c>
      <c r="AA34" s="48" t="str">
        <f t="shared" si="1"/>
        <v>-</v>
      </c>
      <c r="AB34" s="48" t="str">
        <f t="shared" si="2"/>
        <v>-</v>
      </c>
      <c r="AC34" s="48" t="str">
        <f t="shared" si="3"/>
        <v>-</v>
      </c>
      <c r="AD34" s="48" t="str">
        <f t="shared" si="4"/>
        <v>-</v>
      </c>
      <c r="AE34" s="48" t="str">
        <f t="shared" si="5"/>
        <v>-</v>
      </c>
      <c r="AF34" s="48" t="str">
        <f t="shared" si="6"/>
        <v>-</v>
      </c>
      <c r="AG34" s="48" t="str">
        <f t="shared" si="7"/>
        <v>-</v>
      </c>
    </row>
    <row r="35" spans="1:33" ht="15" thickBot="1" x14ac:dyDescent="0.35">
      <c r="A35" s="574"/>
      <c r="B35" s="346" t="s">
        <v>539</v>
      </c>
      <c r="C35" s="347">
        <v>10</v>
      </c>
      <c r="D35" s="335"/>
      <c r="E35" s="348">
        <v>0.8</v>
      </c>
      <c r="F35" s="349">
        <v>0.6</v>
      </c>
      <c r="G35" s="349">
        <v>0.3</v>
      </c>
      <c r="H35" s="348">
        <v>0.8</v>
      </c>
      <c r="I35" s="347" t="s">
        <v>578</v>
      </c>
      <c r="J35" s="350"/>
      <c r="K35" s="336"/>
      <c r="L35" s="336"/>
      <c r="M35" s="336"/>
      <c r="N35" s="336"/>
      <c r="O35" s="336"/>
      <c r="P35" s="336"/>
      <c r="Q35" s="336"/>
      <c r="R35" s="336"/>
      <c r="S35" s="336"/>
      <c r="T35" s="336"/>
      <c r="U35" s="351"/>
      <c r="V35" s="352" t="s">
        <v>379</v>
      </c>
      <c r="W35" s="323">
        <v>1</v>
      </c>
      <c r="X35" s="324">
        <v>1.9</v>
      </c>
      <c r="Z35" s="48">
        <f t="shared" si="0"/>
        <v>1.9</v>
      </c>
      <c r="AA35" s="48" t="str">
        <f t="shared" si="1"/>
        <v>-</v>
      </c>
      <c r="AB35" s="48" t="str">
        <f t="shared" si="2"/>
        <v>-</v>
      </c>
      <c r="AC35" s="48" t="str">
        <f t="shared" si="3"/>
        <v>-</v>
      </c>
      <c r="AD35" s="48" t="str">
        <f t="shared" si="4"/>
        <v>-</v>
      </c>
      <c r="AE35" s="48" t="str">
        <f t="shared" si="5"/>
        <v>-</v>
      </c>
      <c r="AF35" s="48" t="str">
        <f t="shared" si="6"/>
        <v>-</v>
      </c>
      <c r="AG35" s="48" t="str">
        <f t="shared" si="7"/>
        <v>-</v>
      </c>
    </row>
    <row r="36" spans="1:33" ht="15" thickBot="1" x14ac:dyDescent="0.35">
      <c r="A36" s="574"/>
      <c r="B36" s="346" t="s">
        <v>539</v>
      </c>
      <c r="C36" s="347">
        <v>11</v>
      </c>
      <c r="D36" s="335"/>
      <c r="E36" s="348">
        <v>0.8</v>
      </c>
      <c r="F36" s="349">
        <v>0.6</v>
      </c>
      <c r="G36" s="349">
        <v>0.3</v>
      </c>
      <c r="H36" s="348">
        <v>0.8</v>
      </c>
      <c r="I36" s="347" t="s">
        <v>578</v>
      </c>
      <c r="J36" s="350"/>
      <c r="K36" s="336"/>
      <c r="L36" s="336"/>
      <c r="M36" s="336"/>
      <c r="N36" s="336"/>
      <c r="O36" s="336"/>
      <c r="P36" s="336"/>
      <c r="Q36" s="336"/>
      <c r="R36" s="336"/>
      <c r="S36" s="336"/>
      <c r="T36" s="336"/>
      <c r="U36" s="351"/>
      <c r="V36" s="352" t="s">
        <v>379</v>
      </c>
      <c r="W36" s="323">
        <v>1</v>
      </c>
      <c r="X36" s="324">
        <v>1.92</v>
      </c>
      <c r="Z36" s="48">
        <f t="shared" si="0"/>
        <v>1.92</v>
      </c>
      <c r="AA36" s="48" t="str">
        <f t="shared" si="1"/>
        <v>-</v>
      </c>
      <c r="AB36" s="48" t="str">
        <f t="shared" si="2"/>
        <v>-</v>
      </c>
      <c r="AC36" s="48" t="str">
        <f t="shared" si="3"/>
        <v>-</v>
      </c>
      <c r="AD36" s="48" t="str">
        <f t="shared" si="4"/>
        <v>-</v>
      </c>
      <c r="AE36" s="48" t="str">
        <f t="shared" si="5"/>
        <v>-</v>
      </c>
      <c r="AF36" s="48" t="str">
        <f t="shared" si="6"/>
        <v>-</v>
      </c>
      <c r="AG36" s="48" t="str">
        <f t="shared" si="7"/>
        <v>-</v>
      </c>
    </row>
    <row r="37" spans="1:33" ht="15" thickBot="1" x14ac:dyDescent="0.35">
      <c r="A37" s="577"/>
      <c r="B37" s="353" t="s">
        <v>539</v>
      </c>
      <c r="C37" s="354">
        <v>342</v>
      </c>
      <c r="D37" s="355"/>
      <c r="E37" s="356">
        <v>0.8</v>
      </c>
      <c r="F37" s="357">
        <v>0.6</v>
      </c>
      <c r="G37" s="357">
        <v>0.3</v>
      </c>
      <c r="H37" s="356">
        <v>0.8</v>
      </c>
      <c r="I37" s="354" t="s">
        <v>578</v>
      </c>
      <c r="J37" s="358"/>
      <c r="K37" s="359"/>
      <c r="L37" s="359"/>
      <c r="M37" s="359"/>
      <c r="N37" s="359"/>
      <c r="O37" s="359"/>
      <c r="P37" s="359"/>
      <c r="Q37" s="359"/>
      <c r="R37" s="359"/>
      <c r="S37" s="359"/>
      <c r="T37" s="359"/>
      <c r="U37" s="360"/>
      <c r="V37" s="361" t="s">
        <v>379</v>
      </c>
      <c r="W37" s="325">
        <v>1</v>
      </c>
      <c r="X37" s="326">
        <v>1.94</v>
      </c>
      <c r="Z37" s="48">
        <f t="shared" si="0"/>
        <v>1.94</v>
      </c>
      <c r="AA37" s="48" t="str">
        <f t="shared" si="1"/>
        <v>-</v>
      </c>
      <c r="AB37" s="48" t="str">
        <f t="shared" si="2"/>
        <v>-</v>
      </c>
      <c r="AC37" s="48" t="str">
        <f t="shared" si="3"/>
        <v>-</v>
      </c>
      <c r="AD37" s="48" t="str">
        <f t="shared" si="4"/>
        <v>-</v>
      </c>
      <c r="AE37" s="48" t="str">
        <f t="shared" si="5"/>
        <v>-</v>
      </c>
      <c r="AF37" s="48" t="str">
        <f t="shared" si="6"/>
        <v>-</v>
      </c>
      <c r="AG37" s="48" t="str">
        <f t="shared" si="7"/>
        <v>-</v>
      </c>
    </row>
    <row r="38" spans="1:33" ht="15" thickBot="1" x14ac:dyDescent="0.35">
      <c r="A38" s="573" t="s">
        <v>382</v>
      </c>
      <c r="B38" s="362" t="s">
        <v>539</v>
      </c>
      <c r="C38" s="363">
        <v>1</v>
      </c>
      <c r="D38" s="335"/>
      <c r="E38" s="364">
        <v>0.8</v>
      </c>
      <c r="F38" s="365">
        <v>0.6</v>
      </c>
      <c r="G38" s="365">
        <v>0.3</v>
      </c>
      <c r="H38" s="364">
        <v>0.8</v>
      </c>
      <c r="I38" s="363" t="s">
        <v>578</v>
      </c>
      <c r="J38" s="366"/>
      <c r="K38" s="336"/>
      <c r="L38" s="336"/>
      <c r="M38" s="336"/>
      <c r="N38" s="336"/>
      <c r="O38" s="336"/>
      <c r="P38" s="336"/>
      <c r="Q38" s="336"/>
      <c r="R38" s="336"/>
      <c r="S38" s="336"/>
      <c r="T38" s="336"/>
      <c r="U38" s="351"/>
      <c r="V38" s="352" t="s">
        <v>379</v>
      </c>
      <c r="W38" s="327">
        <v>1</v>
      </c>
      <c r="X38" s="328">
        <v>1.48</v>
      </c>
      <c r="Z38" s="48">
        <f t="shared" si="0"/>
        <v>1.48</v>
      </c>
      <c r="AA38" s="48" t="str">
        <f t="shared" si="1"/>
        <v>-</v>
      </c>
      <c r="AB38" s="48" t="str">
        <f t="shared" si="2"/>
        <v>-</v>
      </c>
      <c r="AC38" s="48" t="str">
        <f t="shared" si="3"/>
        <v>-</v>
      </c>
      <c r="AD38" s="48" t="str">
        <f t="shared" si="4"/>
        <v>-</v>
      </c>
      <c r="AE38" s="48" t="str">
        <f t="shared" si="5"/>
        <v>-</v>
      </c>
      <c r="AF38" s="48" t="str">
        <f t="shared" si="6"/>
        <v>-</v>
      </c>
      <c r="AG38" s="48" t="str">
        <f t="shared" si="7"/>
        <v>-</v>
      </c>
    </row>
    <row r="39" spans="1:33" ht="15" thickBot="1" x14ac:dyDescent="0.35">
      <c r="A39" s="574"/>
      <c r="B39" s="346" t="s">
        <v>539</v>
      </c>
      <c r="C39" s="347">
        <v>2</v>
      </c>
      <c r="D39" s="335"/>
      <c r="E39" s="348">
        <v>0.8</v>
      </c>
      <c r="F39" s="349">
        <v>0.6</v>
      </c>
      <c r="G39" s="349">
        <v>0.3</v>
      </c>
      <c r="H39" s="348">
        <v>0.8</v>
      </c>
      <c r="I39" s="347" t="s">
        <v>578</v>
      </c>
      <c r="J39" s="350"/>
      <c r="K39" s="336"/>
      <c r="L39" s="336"/>
      <c r="M39" s="336"/>
      <c r="N39" s="336"/>
      <c r="O39" s="336"/>
      <c r="P39" s="336"/>
      <c r="Q39" s="336"/>
      <c r="R39" s="336"/>
      <c r="S39" s="336"/>
      <c r="T39" s="336"/>
      <c r="U39" s="351"/>
      <c r="V39" s="352" t="s">
        <v>379</v>
      </c>
      <c r="W39" s="323">
        <v>1</v>
      </c>
      <c r="X39" s="324">
        <v>1.54</v>
      </c>
      <c r="Z39" s="48">
        <f t="shared" si="0"/>
        <v>1.54</v>
      </c>
      <c r="AA39" s="48" t="str">
        <f t="shared" si="1"/>
        <v>-</v>
      </c>
      <c r="AB39" s="48" t="str">
        <f t="shared" si="2"/>
        <v>-</v>
      </c>
      <c r="AC39" s="48" t="str">
        <f t="shared" si="3"/>
        <v>-</v>
      </c>
      <c r="AD39" s="48" t="str">
        <f t="shared" si="4"/>
        <v>-</v>
      </c>
      <c r="AE39" s="48" t="str">
        <f t="shared" si="5"/>
        <v>-</v>
      </c>
      <c r="AF39" s="48" t="str">
        <f t="shared" si="6"/>
        <v>-</v>
      </c>
      <c r="AG39" s="48" t="str">
        <f t="shared" si="7"/>
        <v>-</v>
      </c>
    </row>
    <row r="40" spans="1:33" ht="15" thickBot="1" x14ac:dyDescent="0.35">
      <c r="A40" s="574"/>
      <c r="B40" s="346" t="s">
        <v>539</v>
      </c>
      <c r="C40" s="347">
        <v>3</v>
      </c>
      <c r="D40" s="335"/>
      <c r="E40" s="348">
        <v>0.8</v>
      </c>
      <c r="F40" s="349">
        <v>0.6</v>
      </c>
      <c r="G40" s="349">
        <v>0.3</v>
      </c>
      <c r="H40" s="348">
        <v>0.8</v>
      </c>
      <c r="I40" s="347" t="s">
        <v>578</v>
      </c>
      <c r="J40" s="350"/>
      <c r="K40" s="336"/>
      <c r="L40" s="336"/>
      <c r="M40" s="336"/>
      <c r="N40" s="336"/>
      <c r="O40" s="336"/>
      <c r="P40" s="336"/>
      <c r="Q40" s="336"/>
      <c r="R40" s="336"/>
      <c r="S40" s="336"/>
      <c r="T40" s="336"/>
      <c r="U40" s="351"/>
      <c r="V40" s="352" t="s">
        <v>379</v>
      </c>
      <c r="W40" s="323">
        <v>1</v>
      </c>
      <c r="X40" s="324">
        <v>1.59</v>
      </c>
      <c r="Z40" s="48">
        <f t="shared" si="0"/>
        <v>1.59</v>
      </c>
      <c r="AA40" s="48" t="str">
        <f t="shared" si="1"/>
        <v>-</v>
      </c>
      <c r="AB40" s="48" t="str">
        <f t="shared" si="2"/>
        <v>-</v>
      </c>
      <c r="AC40" s="48" t="str">
        <f t="shared" si="3"/>
        <v>-</v>
      </c>
      <c r="AD40" s="48" t="str">
        <f t="shared" si="4"/>
        <v>-</v>
      </c>
      <c r="AE40" s="48" t="str">
        <f t="shared" si="5"/>
        <v>-</v>
      </c>
      <c r="AF40" s="48" t="str">
        <f t="shared" si="6"/>
        <v>-</v>
      </c>
      <c r="AG40" s="48" t="str">
        <f t="shared" si="7"/>
        <v>-</v>
      </c>
    </row>
    <row r="41" spans="1:33" ht="15" thickBot="1" x14ac:dyDescent="0.35">
      <c r="A41" s="574"/>
      <c r="B41" s="346" t="s">
        <v>539</v>
      </c>
      <c r="C41" s="347">
        <v>4</v>
      </c>
      <c r="D41" s="335"/>
      <c r="E41" s="348">
        <v>0.8</v>
      </c>
      <c r="F41" s="349">
        <v>0.6</v>
      </c>
      <c r="G41" s="349">
        <v>0.3</v>
      </c>
      <c r="H41" s="348">
        <v>0.8</v>
      </c>
      <c r="I41" s="347" t="s">
        <v>578</v>
      </c>
      <c r="J41" s="350"/>
      <c r="K41" s="336"/>
      <c r="L41" s="336"/>
      <c r="M41" s="336"/>
      <c r="N41" s="336"/>
      <c r="O41" s="336"/>
      <c r="P41" s="336"/>
      <c r="Q41" s="336"/>
      <c r="R41" s="336"/>
      <c r="S41" s="336"/>
      <c r="T41" s="336"/>
      <c r="U41" s="351"/>
      <c r="V41" s="352" t="s">
        <v>379</v>
      </c>
      <c r="W41" s="323">
        <v>1</v>
      </c>
      <c r="X41" s="324">
        <v>1.65</v>
      </c>
      <c r="Z41" s="48">
        <f t="shared" si="0"/>
        <v>1.65</v>
      </c>
      <c r="AA41" s="48" t="str">
        <f t="shared" si="1"/>
        <v>-</v>
      </c>
      <c r="AB41" s="48" t="str">
        <f t="shared" si="2"/>
        <v>-</v>
      </c>
      <c r="AC41" s="48" t="str">
        <f t="shared" si="3"/>
        <v>-</v>
      </c>
      <c r="AD41" s="48" t="str">
        <f t="shared" si="4"/>
        <v>-</v>
      </c>
      <c r="AE41" s="48" t="str">
        <f t="shared" si="5"/>
        <v>-</v>
      </c>
      <c r="AF41" s="48" t="str">
        <f t="shared" si="6"/>
        <v>-</v>
      </c>
      <c r="AG41" s="48" t="str">
        <f t="shared" si="7"/>
        <v>-</v>
      </c>
    </row>
    <row r="42" spans="1:33" ht="15" thickBot="1" x14ac:dyDescent="0.35">
      <c r="A42" s="574"/>
      <c r="B42" s="346" t="s">
        <v>539</v>
      </c>
      <c r="C42" s="347">
        <v>5</v>
      </c>
      <c r="D42" s="335"/>
      <c r="E42" s="348">
        <v>0.8</v>
      </c>
      <c r="F42" s="349">
        <v>0.6</v>
      </c>
      <c r="G42" s="349">
        <v>0.3</v>
      </c>
      <c r="H42" s="348">
        <v>0.8</v>
      </c>
      <c r="I42" s="347" t="s">
        <v>578</v>
      </c>
      <c r="J42" s="350"/>
      <c r="K42" s="336"/>
      <c r="L42" s="336"/>
      <c r="M42" s="336"/>
      <c r="N42" s="336"/>
      <c r="O42" s="336"/>
      <c r="P42" s="336"/>
      <c r="Q42" s="336"/>
      <c r="R42" s="336"/>
      <c r="S42" s="336"/>
      <c r="T42" s="336"/>
      <c r="U42" s="351"/>
      <c r="V42" s="352" t="s">
        <v>379</v>
      </c>
      <c r="W42" s="323">
        <v>1</v>
      </c>
      <c r="X42" s="324">
        <v>1.71</v>
      </c>
      <c r="Z42" s="48">
        <f t="shared" si="0"/>
        <v>1.71</v>
      </c>
      <c r="AA42" s="48" t="str">
        <f t="shared" si="1"/>
        <v>-</v>
      </c>
      <c r="AB42" s="48" t="str">
        <f t="shared" si="2"/>
        <v>-</v>
      </c>
      <c r="AC42" s="48" t="str">
        <f t="shared" si="3"/>
        <v>-</v>
      </c>
      <c r="AD42" s="48" t="str">
        <f t="shared" si="4"/>
        <v>-</v>
      </c>
      <c r="AE42" s="48" t="str">
        <f t="shared" si="5"/>
        <v>-</v>
      </c>
      <c r="AF42" s="48" t="str">
        <f t="shared" si="6"/>
        <v>-</v>
      </c>
      <c r="AG42" s="48" t="str">
        <f t="shared" si="7"/>
        <v>-</v>
      </c>
    </row>
    <row r="43" spans="1:33" ht="15" thickBot="1" x14ac:dyDescent="0.35">
      <c r="A43" s="574"/>
      <c r="B43" s="346" t="s">
        <v>539</v>
      </c>
      <c r="C43" s="347">
        <v>6</v>
      </c>
      <c r="D43" s="335"/>
      <c r="E43" s="348">
        <v>0.8</v>
      </c>
      <c r="F43" s="349">
        <v>0.6</v>
      </c>
      <c r="G43" s="349">
        <v>0.3</v>
      </c>
      <c r="H43" s="348">
        <v>0.8</v>
      </c>
      <c r="I43" s="347" t="s">
        <v>578</v>
      </c>
      <c r="J43" s="350"/>
      <c r="K43" s="336"/>
      <c r="L43" s="336"/>
      <c r="M43" s="336"/>
      <c r="N43" s="336"/>
      <c r="O43" s="336"/>
      <c r="P43" s="336"/>
      <c r="Q43" s="336"/>
      <c r="R43" s="336"/>
      <c r="S43" s="336"/>
      <c r="T43" s="336"/>
      <c r="U43" s="351"/>
      <c r="V43" s="352" t="s">
        <v>379</v>
      </c>
      <c r="W43" s="323">
        <v>1</v>
      </c>
      <c r="X43" s="324">
        <v>1.8</v>
      </c>
      <c r="Z43" s="48">
        <f t="shared" si="0"/>
        <v>1.8</v>
      </c>
      <c r="AA43" s="48" t="str">
        <f t="shared" si="1"/>
        <v>-</v>
      </c>
      <c r="AB43" s="48" t="str">
        <f t="shared" si="2"/>
        <v>-</v>
      </c>
      <c r="AC43" s="48" t="str">
        <f t="shared" si="3"/>
        <v>-</v>
      </c>
      <c r="AD43" s="48" t="str">
        <f t="shared" si="4"/>
        <v>-</v>
      </c>
      <c r="AE43" s="48" t="str">
        <f t="shared" si="5"/>
        <v>-</v>
      </c>
      <c r="AF43" s="48" t="str">
        <f t="shared" si="6"/>
        <v>-</v>
      </c>
      <c r="AG43" s="48" t="str">
        <f t="shared" si="7"/>
        <v>-</v>
      </c>
    </row>
    <row r="44" spans="1:33" ht="15" thickBot="1" x14ac:dyDescent="0.35">
      <c r="A44" s="574"/>
      <c r="B44" s="346" t="s">
        <v>540</v>
      </c>
      <c r="C44" s="347">
        <v>110</v>
      </c>
      <c r="D44" s="335"/>
      <c r="E44" s="348">
        <v>0.8</v>
      </c>
      <c r="F44" s="349">
        <v>0.6</v>
      </c>
      <c r="G44" s="349">
        <v>0.3</v>
      </c>
      <c r="H44" s="348">
        <v>0.8</v>
      </c>
      <c r="I44" s="347" t="s">
        <v>578</v>
      </c>
      <c r="J44" s="350"/>
      <c r="K44" s="336"/>
      <c r="L44" s="336"/>
      <c r="M44" s="336"/>
      <c r="N44" s="336"/>
      <c r="O44" s="336"/>
      <c r="P44" s="336"/>
      <c r="Q44" s="336"/>
      <c r="R44" s="336"/>
      <c r="S44" s="336"/>
      <c r="T44" s="336"/>
      <c r="U44" s="351"/>
      <c r="V44" s="352" t="s">
        <v>379</v>
      </c>
      <c r="W44" s="323"/>
      <c r="X44" s="324">
        <v>5.78</v>
      </c>
      <c r="Z44" s="48">
        <f t="shared" si="0"/>
        <v>5.78</v>
      </c>
      <c r="AA44" s="48" t="str">
        <f t="shared" si="1"/>
        <v>-</v>
      </c>
      <c r="AB44" s="48" t="str">
        <f t="shared" si="2"/>
        <v>-</v>
      </c>
      <c r="AC44" s="48" t="str">
        <f t="shared" si="3"/>
        <v>-</v>
      </c>
      <c r="AD44" s="48" t="str">
        <f t="shared" si="4"/>
        <v>-</v>
      </c>
      <c r="AE44" s="48" t="str">
        <f t="shared" si="5"/>
        <v>-</v>
      </c>
      <c r="AF44" s="48" t="str">
        <f t="shared" si="6"/>
        <v>-</v>
      </c>
      <c r="AG44" s="48" t="str">
        <f t="shared" si="7"/>
        <v>-</v>
      </c>
    </row>
    <row r="45" spans="1:33" ht="15" thickBot="1" x14ac:dyDescent="0.35">
      <c r="A45" s="574"/>
      <c r="B45" s="346" t="s">
        <v>540</v>
      </c>
      <c r="C45" s="347">
        <v>120</v>
      </c>
      <c r="D45" s="335"/>
      <c r="E45" s="348">
        <v>0.8</v>
      </c>
      <c r="F45" s="349">
        <v>0.6</v>
      </c>
      <c r="G45" s="349">
        <v>0.3</v>
      </c>
      <c r="H45" s="348">
        <v>0.8</v>
      </c>
      <c r="I45" s="347" t="s">
        <v>578</v>
      </c>
      <c r="J45" s="350"/>
      <c r="K45" s="336"/>
      <c r="L45" s="336"/>
      <c r="M45" s="336"/>
      <c r="N45" s="336"/>
      <c r="O45" s="336"/>
      <c r="P45" s="336"/>
      <c r="Q45" s="336"/>
      <c r="R45" s="336"/>
      <c r="S45" s="336"/>
      <c r="T45" s="336"/>
      <c r="U45" s="351"/>
      <c r="V45" s="352" t="s">
        <v>379</v>
      </c>
      <c r="W45" s="323"/>
      <c r="X45" s="324">
        <v>5.79</v>
      </c>
      <c r="Z45" s="48">
        <f t="shared" si="0"/>
        <v>5.79</v>
      </c>
      <c r="AA45" s="48" t="str">
        <f t="shared" si="1"/>
        <v>-</v>
      </c>
      <c r="AB45" s="48" t="str">
        <f t="shared" si="2"/>
        <v>-</v>
      </c>
      <c r="AC45" s="48" t="str">
        <f t="shared" si="3"/>
        <v>-</v>
      </c>
      <c r="AD45" s="48" t="str">
        <f t="shared" si="4"/>
        <v>-</v>
      </c>
      <c r="AE45" s="48" t="str">
        <f t="shared" si="5"/>
        <v>-</v>
      </c>
      <c r="AF45" s="48" t="str">
        <f t="shared" si="6"/>
        <v>-</v>
      </c>
      <c r="AG45" s="48" t="str">
        <f t="shared" si="7"/>
        <v>-</v>
      </c>
    </row>
    <row r="46" spans="1:33" ht="15" thickBot="1" x14ac:dyDescent="0.35">
      <c r="A46" s="574"/>
      <c r="B46" s="346" t="s">
        <v>540</v>
      </c>
      <c r="C46" s="347">
        <v>130</v>
      </c>
      <c r="D46" s="335"/>
      <c r="E46" s="348">
        <v>0.8</v>
      </c>
      <c r="F46" s="349">
        <v>0.6</v>
      </c>
      <c r="G46" s="349">
        <v>0.3</v>
      </c>
      <c r="H46" s="348">
        <v>0.8</v>
      </c>
      <c r="I46" s="347" t="s">
        <v>578</v>
      </c>
      <c r="J46" s="350"/>
      <c r="K46" s="336"/>
      <c r="L46" s="336"/>
      <c r="M46" s="336"/>
      <c r="N46" s="336"/>
      <c r="O46" s="336"/>
      <c r="P46" s="336"/>
      <c r="Q46" s="336"/>
      <c r="R46" s="336"/>
      <c r="S46" s="336"/>
      <c r="T46" s="336"/>
      <c r="U46" s="351"/>
      <c r="V46" s="352" t="s">
        <v>379</v>
      </c>
      <c r="W46" s="323"/>
      <c r="X46" s="324">
        <v>5.8</v>
      </c>
      <c r="Z46" s="48">
        <f t="shared" si="0"/>
        <v>5.8</v>
      </c>
      <c r="AA46" s="48" t="str">
        <f t="shared" si="1"/>
        <v>-</v>
      </c>
      <c r="AB46" s="48" t="str">
        <f t="shared" si="2"/>
        <v>-</v>
      </c>
      <c r="AC46" s="48" t="str">
        <f t="shared" si="3"/>
        <v>-</v>
      </c>
      <c r="AD46" s="48" t="str">
        <f t="shared" si="4"/>
        <v>-</v>
      </c>
      <c r="AE46" s="48" t="str">
        <f t="shared" si="5"/>
        <v>-</v>
      </c>
      <c r="AF46" s="48" t="str">
        <f t="shared" si="6"/>
        <v>-</v>
      </c>
      <c r="AG46" s="48" t="str">
        <f t="shared" si="7"/>
        <v>-</v>
      </c>
    </row>
    <row r="47" spans="1:33" ht="15" thickBot="1" x14ac:dyDescent="0.35">
      <c r="A47" s="574"/>
      <c r="B47" s="346" t="s">
        <v>540</v>
      </c>
      <c r="C47" s="347">
        <v>140</v>
      </c>
      <c r="D47" s="335"/>
      <c r="E47" s="348">
        <v>0.8</v>
      </c>
      <c r="F47" s="349">
        <v>0.6</v>
      </c>
      <c r="G47" s="349">
        <v>0.3</v>
      </c>
      <c r="H47" s="348">
        <v>0.8</v>
      </c>
      <c r="I47" s="347" t="s">
        <v>578</v>
      </c>
      <c r="J47" s="350"/>
      <c r="K47" s="336"/>
      <c r="L47" s="336"/>
      <c r="M47" s="336"/>
      <c r="N47" s="336"/>
      <c r="O47" s="336"/>
      <c r="P47" s="336"/>
      <c r="Q47" s="336"/>
      <c r="R47" s="336"/>
      <c r="S47" s="336"/>
      <c r="T47" s="336"/>
      <c r="U47" s="351"/>
      <c r="V47" s="352" t="s">
        <v>379</v>
      </c>
      <c r="W47" s="323"/>
      <c r="X47" s="324">
        <v>5.81</v>
      </c>
      <c r="Z47" s="48">
        <f t="shared" si="0"/>
        <v>5.81</v>
      </c>
      <c r="AA47" s="48" t="str">
        <f t="shared" si="1"/>
        <v>-</v>
      </c>
      <c r="AB47" s="48" t="str">
        <f t="shared" si="2"/>
        <v>-</v>
      </c>
      <c r="AC47" s="48" t="str">
        <f t="shared" si="3"/>
        <v>-</v>
      </c>
      <c r="AD47" s="48" t="str">
        <f t="shared" si="4"/>
        <v>-</v>
      </c>
      <c r="AE47" s="48" t="str">
        <f t="shared" si="5"/>
        <v>-</v>
      </c>
      <c r="AF47" s="48" t="str">
        <f t="shared" si="6"/>
        <v>-</v>
      </c>
      <c r="AG47" s="48" t="str">
        <f t="shared" si="7"/>
        <v>-</v>
      </c>
    </row>
    <row r="48" spans="1:33" ht="15" thickBot="1" x14ac:dyDescent="0.35">
      <c r="A48" s="574"/>
      <c r="B48" s="346" t="s">
        <v>540</v>
      </c>
      <c r="C48" s="347">
        <v>150</v>
      </c>
      <c r="D48" s="335"/>
      <c r="E48" s="348">
        <v>0.8</v>
      </c>
      <c r="F48" s="349">
        <v>0.6</v>
      </c>
      <c r="G48" s="349">
        <v>0.3</v>
      </c>
      <c r="H48" s="348">
        <v>0.8</v>
      </c>
      <c r="I48" s="347" t="s">
        <v>578</v>
      </c>
      <c r="J48" s="350"/>
      <c r="K48" s="336"/>
      <c r="L48" s="336"/>
      <c r="M48" s="336"/>
      <c r="N48" s="336"/>
      <c r="O48" s="336"/>
      <c r="P48" s="336"/>
      <c r="Q48" s="336"/>
      <c r="R48" s="336"/>
      <c r="S48" s="336"/>
      <c r="T48" s="336"/>
      <c r="U48" s="351"/>
      <c r="V48" s="352" t="s">
        <v>379</v>
      </c>
      <c r="W48" s="323"/>
      <c r="X48" s="324">
        <v>5.84</v>
      </c>
      <c r="Z48" s="48">
        <f t="shared" si="0"/>
        <v>5.84</v>
      </c>
      <c r="AA48" s="48" t="str">
        <f t="shared" si="1"/>
        <v>-</v>
      </c>
      <c r="AB48" s="48" t="str">
        <f t="shared" si="2"/>
        <v>-</v>
      </c>
      <c r="AC48" s="48" t="str">
        <f t="shared" si="3"/>
        <v>-</v>
      </c>
      <c r="AD48" s="48" t="str">
        <f t="shared" si="4"/>
        <v>-</v>
      </c>
      <c r="AE48" s="48" t="str">
        <f t="shared" si="5"/>
        <v>-</v>
      </c>
      <c r="AF48" s="48" t="str">
        <f t="shared" si="6"/>
        <v>-</v>
      </c>
      <c r="AG48" s="48" t="str">
        <f t="shared" si="7"/>
        <v>-</v>
      </c>
    </row>
    <row r="49" spans="1:33" ht="15" thickBot="1" x14ac:dyDescent="0.35">
      <c r="A49" s="574"/>
      <c r="B49" s="346" t="s">
        <v>540</v>
      </c>
      <c r="C49" s="347">
        <v>160</v>
      </c>
      <c r="D49" s="335"/>
      <c r="E49" s="348">
        <v>0.8</v>
      </c>
      <c r="F49" s="349">
        <v>0.6</v>
      </c>
      <c r="G49" s="349">
        <v>0.3</v>
      </c>
      <c r="H49" s="348">
        <v>0.8</v>
      </c>
      <c r="I49" s="347" t="s">
        <v>578</v>
      </c>
      <c r="J49" s="350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51"/>
      <c r="V49" s="352" t="s">
        <v>379</v>
      </c>
      <c r="W49" s="323"/>
      <c r="X49" s="324">
        <v>5.82</v>
      </c>
      <c r="Z49" s="48">
        <f t="shared" si="0"/>
        <v>5.82</v>
      </c>
      <c r="AA49" s="48" t="str">
        <f t="shared" si="1"/>
        <v>-</v>
      </c>
      <c r="AB49" s="48" t="str">
        <f t="shared" si="2"/>
        <v>-</v>
      </c>
      <c r="AC49" s="48" t="str">
        <f t="shared" si="3"/>
        <v>-</v>
      </c>
      <c r="AD49" s="48" t="str">
        <f t="shared" si="4"/>
        <v>-</v>
      </c>
      <c r="AE49" s="48" t="str">
        <f t="shared" si="5"/>
        <v>-</v>
      </c>
      <c r="AF49" s="48" t="str">
        <f t="shared" si="6"/>
        <v>-</v>
      </c>
      <c r="AG49" s="48" t="str">
        <f t="shared" si="7"/>
        <v>-</v>
      </c>
    </row>
    <row r="50" spans="1:33" ht="15" thickBot="1" x14ac:dyDescent="0.35">
      <c r="A50" s="574"/>
      <c r="B50" s="346" t="s">
        <v>540</v>
      </c>
      <c r="C50" s="347">
        <v>170</v>
      </c>
      <c r="D50" s="335"/>
      <c r="E50" s="348">
        <v>0.8</v>
      </c>
      <c r="F50" s="349">
        <v>0.6</v>
      </c>
      <c r="G50" s="349">
        <v>0.3</v>
      </c>
      <c r="H50" s="348">
        <v>0.8</v>
      </c>
      <c r="I50" s="347" t="s">
        <v>578</v>
      </c>
      <c r="J50" s="350"/>
      <c r="K50" s="336"/>
      <c r="L50" s="336"/>
      <c r="M50" s="336"/>
      <c r="N50" s="336"/>
      <c r="O50" s="336"/>
      <c r="P50" s="336"/>
      <c r="Q50" s="336"/>
      <c r="R50" s="336"/>
      <c r="S50" s="336"/>
      <c r="T50" s="336"/>
      <c r="U50" s="351"/>
      <c r="V50" s="352" t="s">
        <v>379</v>
      </c>
      <c r="W50" s="323"/>
      <c r="X50" s="324">
        <v>5.83</v>
      </c>
      <c r="Z50" s="48">
        <f t="shared" si="0"/>
        <v>5.83</v>
      </c>
      <c r="AA50" s="48" t="str">
        <f t="shared" si="1"/>
        <v>-</v>
      </c>
      <c r="AB50" s="48" t="str">
        <f t="shared" si="2"/>
        <v>-</v>
      </c>
      <c r="AC50" s="48" t="str">
        <f t="shared" si="3"/>
        <v>-</v>
      </c>
      <c r="AD50" s="48" t="str">
        <f t="shared" si="4"/>
        <v>-</v>
      </c>
      <c r="AE50" s="48" t="str">
        <f t="shared" si="5"/>
        <v>-</v>
      </c>
      <c r="AF50" s="48" t="str">
        <f t="shared" si="6"/>
        <v>-</v>
      </c>
      <c r="AG50" s="48" t="str">
        <f t="shared" si="7"/>
        <v>-</v>
      </c>
    </row>
    <row r="51" spans="1:33" ht="15" thickBot="1" x14ac:dyDescent="0.35">
      <c r="A51" s="575"/>
      <c r="B51" s="367" t="s">
        <v>540</v>
      </c>
      <c r="C51" s="368">
        <v>172</v>
      </c>
      <c r="D51" s="335"/>
      <c r="E51" s="369">
        <v>0.8</v>
      </c>
      <c r="F51" s="370">
        <v>0.6</v>
      </c>
      <c r="G51" s="370">
        <v>0.3</v>
      </c>
      <c r="H51" s="369">
        <v>0.8</v>
      </c>
      <c r="I51" s="368" t="s">
        <v>578</v>
      </c>
      <c r="J51" s="371"/>
      <c r="K51" s="336"/>
      <c r="L51" s="336"/>
      <c r="M51" s="336"/>
      <c r="N51" s="336"/>
      <c r="O51" s="336"/>
      <c r="P51" s="336"/>
      <c r="Q51" s="336"/>
      <c r="R51" s="336"/>
      <c r="S51" s="336"/>
      <c r="T51" s="336"/>
      <c r="U51" s="351"/>
      <c r="V51" s="352" t="s">
        <v>379</v>
      </c>
      <c r="W51" s="329"/>
      <c r="X51" s="330">
        <v>5.83</v>
      </c>
      <c r="Z51" s="48">
        <f t="shared" si="0"/>
        <v>5.83</v>
      </c>
      <c r="AA51" s="48" t="str">
        <f t="shared" si="1"/>
        <v>-</v>
      </c>
      <c r="AB51" s="48" t="str">
        <f t="shared" si="2"/>
        <v>-</v>
      </c>
      <c r="AC51" s="48" t="str">
        <f t="shared" si="3"/>
        <v>-</v>
      </c>
      <c r="AD51" s="48" t="str">
        <f t="shared" si="4"/>
        <v>-</v>
      </c>
      <c r="AE51" s="48" t="str">
        <f t="shared" si="5"/>
        <v>-</v>
      </c>
      <c r="AF51" s="48" t="str">
        <f t="shared" si="6"/>
        <v>-</v>
      </c>
      <c r="AG51" s="48" t="str">
        <f t="shared" si="7"/>
        <v>-</v>
      </c>
    </row>
    <row r="52" spans="1:33" ht="15" thickBot="1" x14ac:dyDescent="0.35">
      <c r="A52" s="576" t="s">
        <v>388</v>
      </c>
      <c r="B52" s="337" t="s">
        <v>540</v>
      </c>
      <c r="C52" s="338">
        <v>1</v>
      </c>
      <c r="D52" s="339"/>
      <c r="E52" s="340">
        <v>0.8</v>
      </c>
      <c r="F52" s="341">
        <v>0.6</v>
      </c>
      <c r="G52" s="341">
        <v>0.3</v>
      </c>
      <c r="H52" s="340">
        <v>0.8</v>
      </c>
      <c r="I52" s="338" t="s">
        <v>578</v>
      </c>
      <c r="J52" s="342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4"/>
      <c r="V52" s="345" t="s">
        <v>379</v>
      </c>
      <c r="W52" s="321"/>
      <c r="X52" s="322">
        <v>5.68</v>
      </c>
      <c r="Z52" s="48">
        <f t="shared" si="0"/>
        <v>5.68</v>
      </c>
      <c r="AA52" s="48" t="str">
        <f t="shared" si="1"/>
        <v>-</v>
      </c>
      <c r="AB52" s="48" t="str">
        <f t="shared" si="2"/>
        <v>-</v>
      </c>
      <c r="AC52" s="48" t="str">
        <f t="shared" si="3"/>
        <v>-</v>
      </c>
      <c r="AD52" s="48" t="str">
        <f t="shared" si="4"/>
        <v>-</v>
      </c>
      <c r="AE52" s="48" t="str">
        <f t="shared" si="5"/>
        <v>-</v>
      </c>
      <c r="AF52" s="48" t="str">
        <f t="shared" si="6"/>
        <v>-</v>
      </c>
      <c r="AG52" s="48" t="str">
        <f t="shared" si="7"/>
        <v>-</v>
      </c>
    </row>
    <row r="53" spans="1:33" ht="15" thickBot="1" x14ac:dyDescent="0.35">
      <c r="A53" s="574"/>
      <c r="B53" s="346" t="s">
        <v>540</v>
      </c>
      <c r="C53" s="347">
        <v>2</v>
      </c>
      <c r="D53" s="335"/>
      <c r="E53" s="348">
        <v>0.8</v>
      </c>
      <c r="F53" s="349">
        <v>0.6</v>
      </c>
      <c r="G53" s="349">
        <v>0.3</v>
      </c>
      <c r="H53" s="348">
        <v>0.8</v>
      </c>
      <c r="I53" s="347" t="s">
        <v>578</v>
      </c>
      <c r="J53" s="350"/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51"/>
      <c r="V53" s="352" t="s">
        <v>379</v>
      </c>
      <c r="W53" s="323"/>
      <c r="X53" s="324">
        <v>5.54</v>
      </c>
      <c r="Z53" s="48">
        <f t="shared" si="0"/>
        <v>5.54</v>
      </c>
      <c r="AA53" s="48" t="str">
        <f t="shared" si="1"/>
        <v>-</v>
      </c>
      <c r="AB53" s="48" t="str">
        <f t="shared" si="2"/>
        <v>-</v>
      </c>
      <c r="AC53" s="48" t="str">
        <f t="shared" si="3"/>
        <v>-</v>
      </c>
      <c r="AD53" s="48" t="str">
        <f t="shared" si="4"/>
        <v>-</v>
      </c>
      <c r="AE53" s="48" t="str">
        <f t="shared" si="5"/>
        <v>-</v>
      </c>
      <c r="AF53" s="48" t="str">
        <f t="shared" si="6"/>
        <v>-</v>
      </c>
      <c r="AG53" s="48" t="str">
        <f t="shared" si="7"/>
        <v>-</v>
      </c>
    </row>
    <row r="54" spans="1:33" ht="15" thickBot="1" x14ac:dyDescent="0.35">
      <c r="A54" s="574"/>
      <c r="B54" s="346" t="s">
        <v>540</v>
      </c>
      <c r="C54" s="347">
        <v>3</v>
      </c>
      <c r="D54" s="335"/>
      <c r="E54" s="348">
        <v>0.8</v>
      </c>
      <c r="F54" s="349">
        <v>0.6</v>
      </c>
      <c r="G54" s="349">
        <v>0.3</v>
      </c>
      <c r="H54" s="348">
        <v>0.8</v>
      </c>
      <c r="I54" s="347" t="s">
        <v>578</v>
      </c>
      <c r="J54" s="350"/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51"/>
      <c r="V54" s="352" t="s">
        <v>379</v>
      </c>
      <c r="W54" s="323"/>
      <c r="X54" s="324">
        <v>5.38</v>
      </c>
      <c r="Z54" s="48">
        <f t="shared" si="0"/>
        <v>5.38</v>
      </c>
      <c r="AA54" s="48" t="str">
        <f t="shared" si="1"/>
        <v>-</v>
      </c>
      <c r="AB54" s="48" t="str">
        <f t="shared" si="2"/>
        <v>-</v>
      </c>
      <c r="AC54" s="48" t="str">
        <f t="shared" si="3"/>
        <v>-</v>
      </c>
      <c r="AD54" s="48" t="str">
        <f t="shared" si="4"/>
        <v>-</v>
      </c>
      <c r="AE54" s="48" t="str">
        <f t="shared" si="5"/>
        <v>-</v>
      </c>
      <c r="AF54" s="48" t="str">
        <f t="shared" si="6"/>
        <v>-</v>
      </c>
      <c r="AG54" s="48" t="str">
        <f t="shared" si="7"/>
        <v>-</v>
      </c>
    </row>
    <row r="55" spans="1:33" ht="15" thickBot="1" x14ac:dyDescent="0.35">
      <c r="A55" s="574"/>
      <c r="B55" s="346" t="s">
        <v>540</v>
      </c>
      <c r="C55" s="347">
        <v>4</v>
      </c>
      <c r="D55" s="335"/>
      <c r="E55" s="348">
        <v>0.8</v>
      </c>
      <c r="F55" s="349">
        <v>0.6</v>
      </c>
      <c r="G55" s="349">
        <v>0.3</v>
      </c>
      <c r="H55" s="348">
        <v>0.8</v>
      </c>
      <c r="I55" s="347" t="s">
        <v>578</v>
      </c>
      <c r="J55" s="350"/>
      <c r="K55" s="336"/>
      <c r="L55" s="336"/>
      <c r="M55" s="336"/>
      <c r="N55" s="336"/>
      <c r="O55" s="336"/>
      <c r="P55" s="336"/>
      <c r="Q55" s="336"/>
      <c r="R55" s="336"/>
      <c r="S55" s="336"/>
      <c r="T55" s="336"/>
      <c r="U55" s="351"/>
      <c r="V55" s="352" t="s">
        <v>379</v>
      </c>
      <c r="W55" s="323"/>
      <c r="X55" s="324">
        <v>5.23</v>
      </c>
      <c r="Z55" s="48">
        <f t="shared" si="0"/>
        <v>5.23</v>
      </c>
      <c r="AA55" s="48" t="str">
        <f t="shared" si="1"/>
        <v>-</v>
      </c>
      <c r="AB55" s="48" t="str">
        <f t="shared" si="2"/>
        <v>-</v>
      </c>
      <c r="AC55" s="48" t="str">
        <f t="shared" si="3"/>
        <v>-</v>
      </c>
      <c r="AD55" s="48" t="str">
        <f t="shared" si="4"/>
        <v>-</v>
      </c>
      <c r="AE55" s="48" t="str">
        <f t="shared" si="5"/>
        <v>-</v>
      </c>
      <c r="AF55" s="48" t="str">
        <f t="shared" si="6"/>
        <v>-</v>
      </c>
      <c r="AG55" s="48" t="str">
        <f t="shared" si="7"/>
        <v>-</v>
      </c>
    </row>
    <row r="56" spans="1:33" ht="15" thickBot="1" x14ac:dyDescent="0.35">
      <c r="A56" s="574"/>
      <c r="B56" s="346" t="s">
        <v>540</v>
      </c>
      <c r="C56" s="347">
        <v>5</v>
      </c>
      <c r="D56" s="335"/>
      <c r="E56" s="348">
        <v>0.8</v>
      </c>
      <c r="F56" s="349">
        <v>0.6</v>
      </c>
      <c r="G56" s="349">
        <v>0.3</v>
      </c>
      <c r="H56" s="348">
        <v>0.8</v>
      </c>
      <c r="I56" s="347" t="s">
        <v>578</v>
      </c>
      <c r="J56" s="350"/>
      <c r="K56" s="336"/>
      <c r="L56" s="336"/>
      <c r="M56" s="336"/>
      <c r="N56" s="336"/>
      <c r="O56" s="336"/>
      <c r="P56" s="336"/>
      <c r="Q56" s="336"/>
      <c r="R56" s="336"/>
      <c r="S56" s="336"/>
      <c r="T56" s="336"/>
      <c r="U56" s="351"/>
      <c r="V56" s="352" t="s">
        <v>379</v>
      </c>
      <c r="W56" s="323"/>
      <c r="X56" s="324">
        <v>5.09</v>
      </c>
      <c r="Z56" s="48">
        <f t="shared" si="0"/>
        <v>5.09</v>
      </c>
      <c r="AA56" s="48" t="str">
        <f t="shared" si="1"/>
        <v>-</v>
      </c>
      <c r="AB56" s="48" t="str">
        <f t="shared" si="2"/>
        <v>-</v>
      </c>
      <c r="AC56" s="48" t="str">
        <f t="shared" si="3"/>
        <v>-</v>
      </c>
      <c r="AD56" s="48" t="str">
        <f t="shared" si="4"/>
        <v>-</v>
      </c>
      <c r="AE56" s="48" t="str">
        <f t="shared" si="5"/>
        <v>-</v>
      </c>
      <c r="AF56" s="48" t="str">
        <f t="shared" si="6"/>
        <v>-</v>
      </c>
      <c r="AG56" s="48" t="str">
        <f t="shared" si="7"/>
        <v>-</v>
      </c>
    </row>
    <row r="57" spans="1:33" ht="15" thickBot="1" x14ac:dyDescent="0.35">
      <c r="A57" s="574"/>
      <c r="B57" s="346" t="s">
        <v>540</v>
      </c>
      <c r="C57" s="347">
        <v>6</v>
      </c>
      <c r="D57" s="335"/>
      <c r="E57" s="348">
        <v>0.8</v>
      </c>
      <c r="F57" s="349">
        <v>0.6</v>
      </c>
      <c r="G57" s="349">
        <v>0.3</v>
      </c>
      <c r="H57" s="348">
        <v>0.8</v>
      </c>
      <c r="I57" s="347" t="s">
        <v>578</v>
      </c>
      <c r="J57" s="350"/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51"/>
      <c r="V57" s="352" t="s">
        <v>379</v>
      </c>
      <c r="W57" s="323"/>
      <c r="X57" s="324">
        <v>4.96</v>
      </c>
      <c r="Z57" s="48">
        <f t="shared" si="0"/>
        <v>4.96</v>
      </c>
      <c r="AA57" s="48" t="str">
        <f t="shared" si="1"/>
        <v>-</v>
      </c>
      <c r="AB57" s="48" t="str">
        <f t="shared" si="2"/>
        <v>-</v>
      </c>
      <c r="AC57" s="48" t="str">
        <f t="shared" si="3"/>
        <v>-</v>
      </c>
      <c r="AD57" s="48" t="str">
        <f t="shared" si="4"/>
        <v>-</v>
      </c>
      <c r="AE57" s="48" t="str">
        <f t="shared" si="5"/>
        <v>-</v>
      </c>
      <c r="AF57" s="48" t="str">
        <f t="shared" si="6"/>
        <v>-</v>
      </c>
      <c r="AG57" s="48" t="str">
        <f t="shared" si="7"/>
        <v>-</v>
      </c>
    </row>
    <row r="58" spans="1:33" ht="15" thickBot="1" x14ac:dyDescent="0.35">
      <c r="A58" s="574"/>
      <c r="B58" s="346" t="s">
        <v>540</v>
      </c>
      <c r="C58" s="347">
        <v>7</v>
      </c>
      <c r="D58" s="335"/>
      <c r="E58" s="348">
        <v>0.8</v>
      </c>
      <c r="F58" s="349">
        <v>0.6</v>
      </c>
      <c r="G58" s="349">
        <v>0.3</v>
      </c>
      <c r="H58" s="348">
        <v>0.8</v>
      </c>
      <c r="I58" s="347" t="s">
        <v>578</v>
      </c>
      <c r="J58" s="350"/>
      <c r="K58" s="336"/>
      <c r="L58" s="336"/>
      <c r="M58" s="336"/>
      <c r="N58" s="336"/>
      <c r="O58" s="336"/>
      <c r="P58" s="336"/>
      <c r="Q58" s="336"/>
      <c r="R58" s="336"/>
      <c r="S58" s="336"/>
      <c r="T58" s="336"/>
      <c r="U58" s="351"/>
      <c r="V58" s="352" t="s">
        <v>379</v>
      </c>
      <c r="W58" s="323"/>
      <c r="X58" s="324">
        <v>4.8600000000000003</v>
      </c>
      <c r="Z58" s="48">
        <f t="shared" si="0"/>
        <v>4.8600000000000003</v>
      </c>
      <c r="AA58" s="48" t="str">
        <f t="shared" si="1"/>
        <v>-</v>
      </c>
      <c r="AB58" s="48" t="str">
        <f t="shared" si="2"/>
        <v>-</v>
      </c>
      <c r="AC58" s="48" t="str">
        <f t="shared" si="3"/>
        <v>-</v>
      </c>
      <c r="AD58" s="48" t="str">
        <f t="shared" si="4"/>
        <v>-</v>
      </c>
      <c r="AE58" s="48" t="str">
        <f t="shared" si="5"/>
        <v>-</v>
      </c>
      <c r="AF58" s="48" t="str">
        <f t="shared" si="6"/>
        <v>-</v>
      </c>
      <c r="AG58" s="48" t="str">
        <f t="shared" si="7"/>
        <v>-</v>
      </c>
    </row>
    <row r="59" spans="1:33" ht="15" thickBot="1" x14ac:dyDescent="0.35">
      <c r="A59" s="574"/>
      <c r="B59" s="346" t="s">
        <v>540</v>
      </c>
      <c r="C59" s="347">
        <v>8</v>
      </c>
      <c r="D59" s="335"/>
      <c r="E59" s="348">
        <v>0.8</v>
      </c>
      <c r="F59" s="349">
        <v>0.6</v>
      </c>
      <c r="G59" s="349">
        <v>0.3</v>
      </c>
      <c r="H59" s="348">
        <v>0.8</v>
      </c>
      <c r="I59" s="347" t="s">
        <v>578</v>
      </c>
      <c r="J59" s="350"/>
      <c r="K59" s="336"/>
      <c r="L59" s="336"/>
      <c r="M59" s="336"/>
      <c r="N59" s="336"/>
      <c r="O59" s="336"/>
      <c r="P59" s="336"/>
      <c r="Q59" s="336"/>
      <c r="R59" s="336"/>
      <c r="S59" s="336"/>
      <c r="T59" s="336"/>
      <c r="U59" s="351"/>
      <c r="V59" s="352" t="s">
        <v>379</v>
      </c>
      <c r="W59" s="323"/>
      <c r="X59" s="324">
        <v>4.8899999999999997</v>
      </c>
      <c r="Z59" s="48">
        <f t="shared" si="0"/>
        <v>4.8899999999999997</v>
      </c>
      <c r="AA59" s="48" t="str">
        <f t="shared" si="1"/>
        <v>-</v>
      </c>
      <c r="AB59" s="48" t="str">
        <f t="shared" si="2"/>
        <v>-</v>
      </c>
      <c r="AC59" s="48" t="str">
        <f t="shared" si="3"/>
        <v>-</v>
      </c>
      <c r="AD59" s="48" t="str">
        <f t="shared" si="4"/>
        <v>-</v>
      </c>
      <c r="AE59" s="48" t="str">
        <f t="shared" si="5"/>
        <v>-</v>
      </c>
      <c r="AF59" s="48" t="str">
        <f t="shared" si="6"/>
        <v>-</v>
      </c>
      <c r="AG59" s="48" t="str">
        <f t="shared" si="7"/>
        <v>-</v>
      </c>
    </row>
    <row r="60" spans="1:33" ht="15" thickBot="1" x14ac:dyDescent="0.35">
      <c r="A60" s="574"/>
      <c r="B60" s="346" t="s">
        <v>540</v>
      </c>
      <c r="C60" s="347">
        <v>9</v>
      </c>
      <c r="D60" s="335"/>
      <c r="E60" s="348">
        <v>0.8</v>
      </c>
      <c r="F60" s="349">
        <v>0.6</v>
      </c>
      <c r="G60" s="349">
        <v>0.3</v>
      </c>
      <c r="H60" s="348">
        <v>0.8</v>
      </c>
      <c r="I60" s="347" t="s">
        <v>578</v>
      </c>
      <c r="J60" s="350"/>
      <c r="K60" s="336"/>
      <c r="L60" s="336"/>
      <c r="M60" s="336"/>
      <c r="N60" s="336"/>
      <c r="O60" s="336"/>
      <c r="P60" s="336"/>
      <c r="Q60" s="336"/>
      <c r="R60" s="336"/>
      <c r="S60" s="336"/>
      <c r="T60" s="336"/>
      <c r="U60" s="351"/>
      <c r="V60" s="352" t="s">
        <v>379</v>
      </c>
      <c r="W60" s="323"/>
      <c r="X60" s="324">
        <v>4.99</v>
      </c>
      <c r="Z60" s="48">
        <f t="shared" si="0"/>
        <v>4.99</v>
      </c>
      <c r="AA60" s="48" t="str">
        <f t="shared" si="1"/>
        <v>-</v>
      </c>
      <c r="AB60" s="48" t="str">
        <f t="shared" si="2"/>
        <v>-</v>
      </c>
      <c r="AC60" s="48" t="str">
        <f t="shared" si="3"/>
        <v>-</v>
      </c>
      <c r="AD60" s="48" t="str">
        <f t="shared" si="4"/>
        <v>-</v>
      </c>
      <c r="AE60" s="48" t="str">
        <f t="shared" si="5"/>
        <v>-</v>
      </c>
      <c r="AF60" s="48" t="str">
        <f t="shared" si="6"/>
        <v>-</v>
      </c>
      <c r="AG60" s="48" t="str">
        <f t="shared" si="7"/>
        <v>-</v>
      </c>
    </row>
    <row r="61" spans="1:33" ht="15" thickBot="1" x14ac:dyDescent="0.35">
      <c r="A61" s="574"/>
      <c r="B61" s="346" t="s">
        <v>540</v>
      </c>
      <c r="C61" s="347">
        <v>10</v>
      </c>
      <c r="D61" s="335"/>
      <c r="E61" s="348">
        <v>0.8</v>
      </c>
      <c r="F61" s="349">
        <v>0.6</v>
      </c>
      <c r="G61" s="349">
        <v>0.3</v>
      </c>
      <c r="H61" s="348">
        <v>0.8</v>
      </c>
      <c r="I61" s="347" t="s">
        <v>578</v>
      </c>
      <c r="J61" s="350"/>
      <c r="K61" s="336"/>
      <c r="L61" s="336"/>
      <c r="M61" s="336"/>
      <c r="N61" s="336"/>
      <c r="O61" s="336"/>
      <c r="P61" s="336"/>
      <c r="Q61" s="336"/>
      <c r="R61" s="336"/>
      <c r="S61" s="336"/>
      <c r="T61" s="336"/>
      <c r="U61" s="351"/>
      <c r="V61" s="352" t="s">
        <v>379</v>
      </c>
      <c r="W61" s="323"/>
      <c r="X61" s="324">
        <v>5.14</v>
      </c>
      <c r="Z61" s="48">
        <f t="shared" si="0"/>
        <v>5.14</v>
      </c>
      <c r="AA61" s="48" t="str">
        <f t="shared" si="1"/>
        <v>-</v>
      </c>
      <c r="AB61" s="48" t="str">
        <f t="shared" si="2"/>
        <v>-</v>
      </c>
      <c r="AC61" s="48" t="str">
        <f t="shared" si="3"/>
        <v>-</v>
      </c>
      <c r="AD61" s="48" t="str">
        <f t="shared" si="4"/>
        <v>-</v>
      </c>
      <c r="AE61" s="48" t="str">
        <f t="shared" si="5"/>
        <v>-</v>
      </c>
      <c r="AF61" s="48" t="str">
        <f t="shared" si="6"/>
        <v>-</v>
      </c>
      <c r="AG61" s="48" t="str">
        <f t="shared" si="7"/>
        <v>-</v>
      </c>
    </row>
    <row r="62" spans="1:33" ht="15" thickBot="1" x14ac:dyDescent="0.35">
      <c r="A62" s="574"/>
      <c r="B62" s="346" t="s">
        <v>540</v>
      </c>
      <c r="C62" s="347">
        <v>11</v>
      </c>
      <c r="D62" s="335"/>
      <c r="E62" s="348">
        <v>0.8</v>
      </c>
      <c r="F62" s="349">
        <v>0.6</v>
      </c>
      <c r="G62" s="349">
        <v>0.3</v>
      </c>
      <c r="H62" s="348">
        <v>0.8</v>
      </c>
      <c r="I62" s="347" t="s">
        <v>578</v>
      </c>
      <c r="J62" s="350"/>
      <c r="K62" s="336"/>
      <c r="L62" s="336"/>
      <c r="M62" s="336"/>
      <c r="N62" s="336"/>
      <c r="O62" s="336"/>
      <c r="P62" s="336"/>
      <c r="Q62" s="336"/>
      <c r="R62" s="336"/>
      <c r="S62" s="336"/>
      <c r="T62" s="336"/>
      <c r="U62" s="351"/>
      <c r="V62" s="352" t="s">
        <v>379</v>
      </c>
      <c r="W62" s="323"/>
      <c r="X62" s="324">
        <v>5.07</v>
      </c>
      <c r="Z62" s="48">
        <f t="shared" si="0"/>
        <v>5.07</v>
      </c>
      <c r="AA62" s="48" t="str">
        <f t="shared" si="1"/>
        <v>-</v>
      </c>
      <c r="AB62" s="48" t="str">
        <f t="shared" si="2"/>
        <v>-</v>
      </c>
      <c r="AC62" s="48" t="str">
        <f t="shared" si="3"/>
        <v>-</v>
      </c>
      <c r="AD62" s="48" t="str">
        <f t="shared" si="4"/>
        <v>-</v>
      </c>
      <c r="AE62" s="48" t="str">
        <f t="shared" si="5"/>
        <v>-</v>
      </c>
      <c r="AF62" s="48" t="str">
        <f t="shared" si="6"/>
        <v>-</v>
      </c>
      <c r="AG62" s="48" t="str">
        <f t="shared" si="7"/>
        <v>-</v>
      </c>
    </row>
    <row r="63" spans="1:33" ht="15" thickBot="1" x14ac:dyDescent="0.35">
      <c r="A63" s="574"/>
      <c r="B63" s="346" t="s">
        <v>540</v>
      </c>
      <c r="C63" s="347">
        <v>12</v>
      </c>
      <c r="D63" s="335"/>
      <c r="E63" s="348">
        <v>0.8</v>
      </c>
      <c r="F63" s="349">
        <v>0.6</v>
      </c>
      <c r="G63" s="349">
        <v>0.3</v>
      </c>
      <c r="H63" s="348">
        <v>0.8</v>
      </c>
      <c r="I63" s="347" t="s">
        <v>578</v>
      </c>
      <c r="J63" s="350"/>
      <c r="K63" s="336"/>
      <c r="L63" s="336"/>
      <c r="M63" s="336"/>
      <c r="N63" s="336"/>
      <c r="O63" s="336"/>
      <c r="P63" s="336"/>
      <c r="Q63" s="336"/>
      <c r="R63" s="336"/>
      <c r="S63" s="336"/>
      <c r="T63" s="336"/>
      <c r="U63" s="351"/>
      <c r="V63" s="352" t="s">
        <v>379</v>
      </c>
      <c r="W63" s="323"/>
      <c r="X63" s="324">
        <v>5.18</v>
      </c>
      <c r="Z63" s="48">
        <f t="shared" si="0"/>
        <v>5.18</v>
      </c>
      <c r="AA63" s="48" t="str">
        <f t="shared" si="1"/>
        <v>-</v>
      </c>
      <c r="AB63" s="48" t="str">
        <f t="shared" si="2"/>
        <v>-</v>
      </c>
      <c r="AC63" s="48" t="str">
        <f t="shared" si="3"/>
        <v>-</v>
      </c>
      <c r="AD63" s="48" t="str">
        <f t="shared" si="4"/>
        <v>-</v>
      </c>
      <c r="AE63" s="48" t="str">
        <f t="shared" si="5"/>
        <v>-</v>
      </c>
      <c r="AF63" s="48" t="str">
        <f t="shared" si="6"/>
        <v>-</v>
      </c>
      <c r="AG63" s="48" t="str">
        <f t="shared" si="7"/>
        <v>-</v>
      </c>
    </row>
    <row r="64" spans="1:33" ht="15" thickBot="1" x14ac:dyDescent="0.35">
      <c r="A64" s="577"/>
      <c r="B64" s="353" t="s">
        <v>540</v>
      </c>
      <c r="C64" s="354">
        <v>13</v>
      </c>
      <c r="D64" s="355"/>
      <c r="E64" s="356">
        <v>0.8</v>
      </c>
      <c r="F64" s="357">
        <v>0.6</v>
      </c>
      <c r="G64" s="357">
        <v>0.3</v>
      </c>
      <c r="H64" s="356">
        <v>0.8</v>
      </c>
      <c r="I64" s="354" t="s">
        <v>578</v>
      </c>
      <c r="J64" s="358"/>
      <c r="K64" s="359"/>
      <c r="L64" s="359"/>
      <c r="M64" s="359"/>
      <c r="N64" s="359"/>
      <c r="O64" s="359"/>
      <c r="P64" s="359"/>
      <c r="Q64" s="359"/>
      <c r="R64" s="359"/>
      <c r="S64" s="359"/>
      <c r="T64" s="359"/>
      <c r="U64" s="360"/>
      <c r="V64" s="361" t="s">
        <v>379</v>
      </c>
      <c r="W64" s="325"/>
      <c r="X64" s="326">
        <v>5.35</v>
      </c>
      <c r="Z64" s="48">
        <f t="shared" si="0"/>
        <v>5.35</v>
      </c>
      <c r="AA64" s="48" t="str">
        <f t="shared" si="1"/>
        <v>-</v>
      </c>
      <c r="AB64" s="48" t="str">
        <f t="shared" si="2"/>
        <v>-</v>
      </c>
      <c r="AC64" s="48" t="str">
        <f t="shared" si="3"/>
        <v>-</v>
      </c>
      <c r="AD64" s="48" t="str">
        <f t="shared" si="4"/>
        <v>-</v>
      </c>
      <c r="AE64" s="48" t="str">
        <f t="shared" si="5"/>
        <v>-</v>
      </c>
      <c r="AF64" s="48" t="str">
        <f t="shared" si="6"/>
        <v>-</v>
      </c>
      <c r="AG64" s="48" t="str">
        <f t="shared" si="7"/>
        <v>-</v>
      </c>
    </row>
    <row r="65" spans="1:33" ht="15" thickBot="1" x14ac:dyDescent="0.35">
      <c r="A65" s="573" t="s">
        <v>541</v>
      </c>
      <c r="B65" s="362" t="s">
        <v>540</v>
      </c>
      <c r="C65" s="363">
        <v>1</v>
      </c>
      <c r="D65" s="335"/>
      <c r="E65" s="364">
        <v>0.8</v>
      </c>
      <c r="F65" s="365">
        <v>0.6</v>
      </c>
      <c r="G65" s="365">
        <v>0.3</v>
      </c>
      <c r="H65" s="364">
        <v>0.8</v>
      </c>
      <c r="I65" s="363" t="s">
        <v>578</v>
      </c>
      <c r="J65" s="366"/>
      <c r="K65" s="336"/>
      <c r="L65" s="336"/>
      <c r="M65" s="336"/>
      <c r="N65" s="336"/>
      <c r="O65" s="336"/>
      <c r="P65" s="336"/>
      <c r="Q65" s="336"/>
      <c r="R65" s="336"/>
      <c r="S65" s="336"/>
      <c r="T65" s="336"/>
      <c r="U65" s="351"/>
      <c r="V65" s="352" t="s">
        <v>379</v>
      </c>
      <c r="W65" s="327"/>
      <c r="X65" s="328">
        <v>6.92</v>
      </c>
      <c r="Z65" s="48">
        <f t="shared" si="0"/>
        <v>6.92</v>
      </c>
      <c r="AA65" s="48" t="str">
        <f t="shared" si="1"/>
        <v>-</v>
      </c>
      <c r="AB65" s="48" t="str">
        <f t="shared" si="2"/>
        <v>-</v>
      </c>
      <c r="AC65" s="48" t="str">
        <f t="shared" si="3"/>
        <v>-</v>
      </c>
      <c r="AD65" s="48" t="str">
        <f t="shared" si="4"/>
        <v>-</v>
      </c>
      <c r="AE65" s="48" t="str">
        <f t="shared" si="5"/>
        <v>-</v>
      </c>
      <c r="AF65" s="48" t="str">
        <f t="shared" si="6"/>
        <v>-</v>
      </c>
      <c r="AG65" s="48" t="str">
        <f t="shared" si="7"/>
        <v>-</v>
      </c>
    </row>
    <row r="66" spans="1:33" ht="15" thickBot="1" x14ac:dyDescent="0.35">
      <c r="A66" s="574"/>
      <c r="B66" s="346" t="s">
        <v>540</v>
      </c>
      <c r="C66" s="347">
        <v>2</v>
      </c>
      <c r="D66" s="335"/>
      <c r="E66" s="348">
        <v>0.8</v>
      </c>
      <c r="F66" s="349">
        <v>0.6</v>
      </c>
      <c r="G66" s="349">
        <v>0.3</v>
      </c>
      <c r="H66" s="348">
        <v>0.8</v>
      </c>
      <c r="I66" s="347" t="s">
        <v>578</v>
      </c>
      <c r="J66" s="350"/>
      <c r="K66" s="336"/>
      <c r="L66" s="336"/>
      <c r="M66" s="336"/>
      <c r="N66" s="336"/>
      <c r="O66" s="336"/>
      <c r="P66" s="336"/>
      <c r="Q66" s="336"/>
      <c r="R66" s="336"/>
      <c r="S66" s="336"/>
      <c r="T66" s="336"/>
      <c r="U66" s="351"/>
      <c r="V66" s="352" t="s">
        <v>379</v>
      </c>
      <c r="W66" s="323"/>
      <c r="X66" s="324">
        <v>6.89</v>
      </c>
      <c r="Z66" s="48">
        <f t="shared" si="0"/>
        <v>6.89</v>
      </c>
      <c r="AA66" s="48" t="str">
        <f t="shared" si="1"/>
        <v>-</v>
      </c>
      <c r="AB66" s="48" t="str">
        <f t="shared" si="2"/>
        <v>-</v>
      </c>
      <c r="AC66" s="48" t="str">
        <f t="shared" si="3"/>
        <v>-</v>
      </c>
      <c r="AD66" s="48" t="str">
        <f t="shared" si="4"/>
        <v>-</v>
      </c>
      <c r="AE66" s="48" t="str">
        <f t="shared" si="5"/>
        <v>-</v>
      </c>
      <c r="AF66" s="48" t="str">
        <f t="shared" si="6"/>
        <v>-</v>
      </c>
      <c r="AG66" s="48" t="str">
        <f t="shared" si="7"/>
        <v>-</v>
      </c>
    </row>
    <row r="67" spans="1:33" ht="15" thickBot="1" x14ac:dyDescent="0.35">
      <c r="A67" s="574"/>
      <c r="B67" s="346" t="s">
        <v>540</v>
      </c>
      <c r="C67" s="347">
        <v>3</v>
      </c>
      <c r="D67" s="335"/>
      <c r="E67" s="348">
        <v>0.8</v>
      </c>
      <c r="F67" s="349">
        <v>0.6</v>
      </c>
      <c r="G67" s="349">
        <v>0.3</v>
      </c>
      <c r="H67" s="348">
        <v>0.8</v>
      </c>
      <c r="I67" s="347" t="s">
        <v>578</v>
      </c>
      <c r="J67" s="350"/>
      <c r="K67" s="336"/>
      <c r="L67" s="336"/>
      <c r="M67" s="336"/>
      <c r="N67" s="336"/>
      <c r="O67" s="336"/>
      <c r="P67" s="336"/>
      <c r="Q67" s="336"/>
      <c r="R67" s="336"/>
      <c r="S67" s="336"/>
      <c r="T67" s="336"/>
      <c r="U67" s="351"/>
      <c r="V67" s="352" t="s">
        <v>379</v>
      </c>
      <c r="W67" s="323"/>
      <c r="X67" s="324">
        <v>6.86</v>
      </c>
      <c r="Z67" s="48">
        <f t="shared" si="0"/>
        <v>6.86</v>
      </c>
      <c r="AA67" s="48" t="str">
        <f t="shared" si="1"/>
        <v>-</v>
      </c>
      <c r="AB67" s="48" t="str">
        <f t="shared" si="2"/>
        <v>-</v>
      </c>
      <c r="AC67" s="48" t="str">
        <f t="shared" si="3"/>
        <v>-</v>
      </c>
      <c r="AD67" s="48" t="str">
        <f t="shared" si="4"/>
        <v>-</v>
      </c>
      <c r="AE67" s="48" t="str">
        <f t="shared" si="5"/>
        <v>-</v>
      </c>
      <c r="AF67" s="48" t="str">
        <f t="shared" si="6"/>
        <v>-</v>
      </c>
      <c r="AG67" s="48" t="str">
        <f t="shared" si="7"/>
        <v>-</v>
      </c>
    </row>
    <row r="68" spans="1:33" ht="15" thickBot="1" x14ac:dyDescent="0.35">
      <c r="A68" s="574"/>
      <c r="B68" s="346" t="s">
        <v>540</v>
      </c>
      <c r="C68" s="347">
        <v>4</v>
      </c>
      <c r="D68" s="335"/>
      <c r="E68" s="348">
        <v>0.8</v>
      </c>
      <c r="F68" s="349">
        <v>0.6</v>
      </c>
      <c r="G68" s="349">
        <v>0.3</v>
      </c>
      <c r="H68" s="348">
        <v>0.8</v>
      </c>
      <c r="I68" s="347" t="s">
        <v>578</v>
      </c>
      <c r="J68" s="350"/>
      <c r="K68" s="336"/>
      <c r="L68" s="336"/>
      <c r="M68" s="336"/>
      <c r="N68" s="336"/>
      <c r="O68" s="336"/>
      <c r="P68" s="336"/>
      <c r="Q68" s="336"/>
      <c r="R68" s="336"/>
      <c r="S68" s="336"/>
      <c r="T68" s="336"/>
      <c r="U68" s="351"/>
      <c r="V68" s="352" t="s">
        <v>379</v>
      </c>
      <c r="W68" s="323"/>
      <c r="X68" s="324">
        <v>6.84</v>
      </c>
      <c r="Z68" s="48">
        <f t="shared" ref="Z68:Z131" si="8">IF(AND(0&lt;=$H68,$H68&lt;=1,$V68="U")=TRUE,$X68,"-")</f>
        <v>6.84</v>
      </c>
      <c r="AA68" s="48" t="str">
        <f t="shared" ref="AA68:AA131" si="9">IF(AND(0&lt;=$H68,$H68&lt;=1,$V68="r")=TRUE,$X68,"-")</f>
        <v>-</v>
      </c>
      <c r="AB68" s="48" t="str">
        <f t="shared" ref="AB68:AB131" si="10">IF(AND(0&lt;=$H68,$H68&lt;=1,$V68="RI")=TRUE,$X68,"-")</f>
        <v>-</v>
      </c>
      <c r="AC68" s="48" t="str">
        <f t="shared" ref="AC68:AC131" si="11">IF(AND(0&lt;=$H68,$H68&lt;=1,$V68="RE")=TRUE,$X68,"-")</f>
        <v>-</v>
      </c>
      <c r="AD68" s="48" t="str">
        <f t="shared" ref="AD68:AD131" si="12">IF(AND(1.01&lt;=$H68,$H68&lt;=1.25,$V68="U")=TRUE,$X68,"-")</f>
        <v>-</v>
      </c>
      <c r="AE68" s="48" t="str">
        <f t="shared" ref="AE68:AE131" si="13">IF(AND(1.01&lt;=$H68,$H68&lt;=1.25,$V68="R")=TRUE,$X68,"-")</f>
        <v>-</v>
      </c>
      <c r="AF68" s="48" t="str">
        <f t="shared" ref="AF68:AF131" si="14">IF(AND(1.01&lt;=$H68,$H68&lt;=1.25,$V68="RI")=TRUE,$X68,"-")</f>
        <v>-</v>
      </c>
      <c r="AG68" s="48" t="str">
        <f t="shared" ref="AG68:AG131" si="15">IF(AND(1.01&lt;=$H68,$H68&lt;=1.25,$V68="RE")=TRUE,$X68,"-")</f>
        <v>-</v>
      </c>
    </row>
    <row r="69" spans="1:33" ht="15" thickBot="1" x14ac:dyDescent="0.35">
      <c r="A69" s="574"/>
      <c r="B69" s="346" t="s">
        <v>540</v>
      </c>
      <c r="C69" s="347">
        <v>5</v>
      </c>
      <c r="D69" s="335"/>
      <c r="E69" s="348">
        <v>0.8</v>
      </c>
      <c r="F69" s="349">
        <v>0.6</v>
      </c>
      <c r="G69" s="349">
        <v>0.3</v>
      </c>
      <c r="H69" s="348">
        <v>0.8</v>
      </c>
      <c r="I69" s="347" t="s">
        <v>578</v>
      </c>
      <c r="J69" s="350"/>
      <c r="K69" s="336"/>
      <c r="L69" s="336"/>
      <c r="M69" s="336"/>
      <c r="N69" s="336"/>
      <c r="O69" s="336"/>
      <c r="P69" s="336"/>
      <c r="Q69" s="336"/>
      <c r="R69" s="336"/>
      <c r="S69" s="336"/>
      <c r="T69" s="336"/>
      <c r="U69" s="351"/>
      <c r="V69" s="352" t="s">
        <v>379</v>
      </c>
      <c r="W69" s="323"/>
      <c r="X69" s="324">
        <v>6.81</v>
      </c>
      <c r="Z69" s="48">
        <f t="shared" si="8"/>
        <v>6.81</v>
      </c>
      <c r="AA69" s="48" t="str">
        <f t="shared" si="9"/>
        <v>-</v>
      </c>
      <c r="AB69" s="48" t="str">
        <f t="shared" si="10"/>
        <v>-</v>
      </c>
      <c r="AC69" s="48" t="str">
        <f t="shared" si="11"/>
        <v>-</v>
      </c>
      <c r="AD69" s="48" t="str">
        <f t="shared" si="12"/>
        <v>-</v>
      </c>
      <c r="AE69" s="48" t="str">
        <f t="shared" si="13"/>
        <v>-</v>
      </c>
      <c r="AF69" s="48" t="str">
        <f t="shared" si="14"/>
        <v>-</v>
      </c>
      <c r="AG69" s="48" t="str">
        <f t="shared" si="15"/>
        <v>-</v>
      </c>
    </row>
    <row r="70" spans="1:33" ht="15" thickBot="1" x14ac:dyDescent="0.35">
      <c r="A70" s="574"/>
      <c r="B70" s="346" t="s">
        <v>540</v>
      </c>
      <c r="C70" s="347">
        <v>6</v>
      </c>
      <c r="D70" s="335"/>
      <c r="E70" s="348">
        <v>0.8</v>
      </c>
      <c r="F70" s="349">
        <v>0.6</v>
      </c>
      <c r="G70" s="349">
        <v>0.3</v>
      </c>
      <c r="H70" s="348">
        <v>0.8</v>
      </c>
      <c r="I70" s="347" t="s">
        <v>578</v>
      </c>
      <c r="J70" s="350"/>
      <c r="K70" s="336"/>
      <c r="L70" s="336"/>
      <c r="M70" s="336"/>
      <c r="N70" s="336"/>
      <c r="O70" s="336"/>
      <c r="P70" s="336"/>
      <c r="Q70" s="336"/>
      <c r="R70" s="336"/>
      <c r="S70" s="336"/>
      <c r="T70" s="336"/>
      <c r="U70" s="351"/>
      <c r="V70" s="352" t="s">
        <v>379</v>
      </c>
      <c r="W70" s="323"/>
      <c r="X70" s="324">
        <v>6.78</v>
      </c>
      <c r="Z70" s="48">
        <f t="shared" si="8"/>
        <v>6.78</v>
      </c>
      <c r="AA70" s="48" t="str">
        <f t="shared" si="9"/>
        <v>-</v>
      </c>
      <c r="AB70" s="48" t="str">
        <f t="shared" si="10"/>
        <v>-</v>
      </c>
      <c r="AC70" s="48" t="str">
        <f t="shared" si="11"/>
        <v>-</v>
      </c>
      <c r="AD70" s="48" t="str">
        <f t="shared" si="12"/>
        <v>-</v>
      </c>
      <c r="AE70" s="48" t="str">
        <f t="shared" si="13"/>
        <v>-</v>
      </c>
      <c r="AF70" s="48" t="str">
        <f t="shared" si="14"/>
        <v>-</v>
      </c>
      <c r="AG70" s="48" t="str">
        <f t="shared" si="15"/>
        <v>-</v>
      </c>
    </row>
    <row r="71" spans="1:33" ht="15" thickBot="1" x14ac:dyDescent="0.35">
      <c r="A71" s="574"/>
      <c r="B71" s="346" t="s">
        <v>540</v>
      </c>
      <c r="C71" s="347">
        <v>7</v>
      </c>
      <c r="D71" s="335"/>
      <c r="E71" s="348">
        <v>0.8</v>
      </c>
      <c r="F71" s="349">
        <v>0.6</v>
      </c>
      <c r="G71" s="349">
        <v>0.3</v>
      </c>
      <c r="H71" s="348">
        <v>0.8</v>
      </c>
      <c r="I71" s="347" t="s">
        <v>578</v>
      </c>
      <c r="J71" s="350"/>
      <c r="K71" s="336"/>
      <c r="L71" s="336"/>
      <c r="M71" s="336"/>
      <c r="N71" s="336"/>
      <c r="O71" s="336"/>
      <c r="P71" s="336"/>
      <c r="Q71" s="336"/>
      <c r="R71" s="336"/>
      <c r="S71" s="336"/>
      <c r="T71" s="336"/>
      <c r="U71" s="351"/>
      <c r="V71" s="352" t="s">
        <v>379</v>
      </c>
      <c r="W71" s="323"/>
      <c r="X71" s="324">
        <v>6.76</v>
      </c>
      <c r="Z71" s="48">
        <f t="shared" si="8"/>
        <v>6.76</v>
      </c>
      <c r="AA71" s="48" t="str">
        <f t="shared" si="9"/>
        <v>-</v>
      </c>
      <c r="AB71" s="48" t="str">
        <f t="shared" si="10"/>
        <v>-</v>
      </c>
      <c r="AC71" s="48" t="str">
        <f t="shared" si="11"/>
        <v>-</v>
      </c>
      <c r="AD71" s="48" t="str">
        <f t="shared" si="12"/>
        <v>-</v>
      </c>
      <c r="AE71" s="48" t="str">
        <f t="shared" si="13"/>
        <v>-</v>
      </c>
      <c r="AF71" s="48" t="str">
        <f t="shared" si="14"/>
        <v>-</v>
      </c>
      <c r="AG71" s="48" t="str">
        <f t="shared" si="15"/>
        <v>-</v>
      </c>
    </row>
    <row r="72" spans="1:33" ht="15" thickBot="1" x14ac:dyDescent="0.35">
      <c r="A72" s="575"/>
      <c r="B72" s="367" t="s">
        <v>540</v>
      </c>
      <c r="C72" s="368">
        <v>8</v>
      </c>
      <c r="D72" s="335"/>
      <c r="E72" s="369">
        <v>0.8</v>
      </c>
      <c r="F72" s="370">
        <v>0.6</v>
      </c>
      <c r="G72" s="370">
        <v>0.3</v>
      </c>
      <c r="H72" s="369">
        <v>0.8</v>
      </c>
      <c r="I72" s="368" t="s">
        <v>578</v>
      </c>
      <c r="J72" s="371"/>
      <c r="K72" s="336"/>
      <c r="L72" s="336"/>
      <c r="M72" s="336"/>
      <c r="N72" s="336"/>
      <c r="O72" s="336"/>
      <c r="P72" s="336"/>
      <c r="Q72" s="336"/>
      <c r="R72" s="336"/>
      <c r="S72" s="336"/>
      <c r="T72" s="336"/>
      <c r="U72" s="351"/>
      <c r="V72" s="352" t="s">
        <v>379</v>
      </c>
      <c r="W72" s="329"/>
      <c r="X72" s="330">
        <v>6.71</v>
      </c>
      <c r="Z72" s="48">
        <f t="shared" si="8"/>
        <v>6.71</v>
      </c>
      <c r="AA72" s="48" t="str">
        <f t="shared" si="9"/>
        <v>-</v>
      </c>
      <c r="AB72" s="48" t="str">
        <f t="shared" si="10"/>
        <v>-</v>
      </c>
      <c r="AC72" s="48" t="str">
        <f t="shared" si="11"/>
        <v>-</v>
      </c>
      <c r="AD72" s="48" t="str">
        <f t="shared" si="12"/>
        <v>-</v>
      </c>
      <c r="AE72" s="48" t="str">
        <f t="shared" si="13"/>
        <v>-</v>
      </c>
      <c r="AF72" s="48" t="str">
        <f t="shared" si="14"/>
        <v>-</v>
      </c>
      <c r="AG72" s="48" t="str">
        <f t="shared" si="15"/>
        <v>-</v>
      </c>
    </row>
    <row r="73" spans="1:33" ht="15.75" thickBot="1" x14ac:dyDescent="0.3">
      <c r="A73" s="372" t="s">
        <v>542</v>
      </c>
      <c r="B73" s="373" t="s">
        <v>540</v>
      </c>
      <c r="C73" s="374" t="s">
        <v>542</v>
      </c>
      <c r="D73" s="375"/>
      <c r="E73" s="376">
        <v>0.8</v>
      </c>
      <c r="F73" s="377">
        <v>0.6</v>
      </c>
      <c r="G73" s="377">
        <v>0.3</v>
      </c>
      <c r="H73" s="376">
        <v>0.8</v>
      </c>
      <c r="I73" s="374" t="s">
        <v>578</v>
      </c>
      <c r="J73" s="378"/>
      <c r="K73" s="379"/>
      <c r="L73" s="379"/>
      <c r="M73" s="379"/>
      <c r="N73" s="379"/>
      <c r="O73" s="379"/>
      <c r="P73" s="379"/>
      <c r="Q73" s="379"/>
      <c r="R73" s="379"/>
      <c r="S73" s="379"/>
      <c r="T73" s="379"/>
      <c r="U73" s="380"/>
      <c r="V73" s="381" t="s">
        <v>379</v>
      </c>
      <c r="W73" s="331"/>
      <c r="X73" s="332">
        <v>3.57</v>
      </c>
      <c r="Z73" s="48">
        <f t="shared" si="8"/>
        <v>3.57</v>
      </c>
      <c r="AA73" s="48" t="str">
        <f t="shared" si="9"/>
        <v>-</v>
      </c>
      <c r="AB73" s="48" t="str">
        <f t="shared" si="10"/>
        <v>-</v>
      </c>
      <c r="AC73" s="48" t="str">
        <f t="shared" si="11"/>
        <v>-</v>
      </c>
      <c r="AD73" s="48" t="str">
        <f t="shared" si="12"/>
        <v>-</v>
      </c>
      <c r="AE73" s="48" t="str">
        <f t="shared" si="13"/>
        <v>-</v>
      </c>
      <c r="AF73" s="48" t="str">
        <f t="shared" si="14"/>
        <v>-</v>
      </c>
      <c r="AG73" s="48" t="str">
        <f t="shared" si="15"/>
        <v>-</v>
      </c>
    </row>
    <row r="74" spans="1:33" ht="15" thickBot="1" x14ac:dyDescent="0.35">
      <c r="A74" s="573" t="s">
        <v>380</v>
      </c>
      <c r="B74" s="362" t="s">
        <v>540</v>
      </c>
      <c r="C74" s="363">
        <v>119</v>
      </c>
      <c r="D74" s="335"/>
      <c r="E74" s="364">
        <v>0.8</v>
      </c>
      <c r="F74" s="365">
        <v>0.6</v>
      </c>
      <c r="G74" s="365">
        <v>0.3</v>
      </c>
      <c r="H74" s="364">
        <v>0.8</v>
      </c>
      <c r="I74" s="363" t="s">
        <v>578</v>
      </c>
      <c r="J74" s="366"/>
      <c r="K74" s="336"/>
      <c r="L74" s="336"/>
      <c r="M74" s="336"/>
      <c r="N74" s="336"/>
      <c r="O74" s="336"/>
      <c r="P74" s="336"/>
      <c r="Q74" s="336"/>
      <c r="R74" s="336"/>
      <c r="S74" s="336"/>
      <c r="T74" s="336"/>
      <c r="U74" s="351"/>
      <c r="V74" s="352" t="s">
        <v>379</v>
      </c>
      <c r="W74" s="327"/>
      <c r="X74" s="328">
        <v>4.5</v>
      </c>
      <c r="Z74" s="48">
        <f t="shared" si="8"/>
        <v>4.5</v>
      </c>
      <c r="AA74" s="48" t="str">
        <f t="shared" si="9"/>
        <v>-</v>
      </c>
      <c r="AB74" s="48" t="str">
        <f t="shared" si="10"/>
        <v>-</v>
      </c>
      <c r="AC74" s="48" t="str">
        <f t="shared" si="11"/>
        <v>-</v>
      </c>
      <c r="AD74" s="48" t="str">
        <f t="shared" si="12"/>
        <v>-</v>
      </c>
      <c r="AE74" s="48" t="str">
        <f t="shared" si="13"/>
        <v>-</v>
      </c>
      <c r="AF74" s="48" t="str">
        <f t="shared" si="14"/>
        <v>-</v>
      </c>
      <c r="AG74" s="48" t="str">
        <f t="shared" si="15"/>
        <v>-</v>
      </c>
    </row>
    <row r="75" spans="1:33" ht="15" thickBot="1" x14ac:dyDescent="0.35">
      <c r="A75" s="574"/>
      <c r="B75" s="346" t="s">
        <v>540</v>
      </c>
      <c r="C75" s="347">
        <v>127</v>
      </c>
      <c r="D75" s="335"/>
      <c r="E75" s="348">
        <v>0.8</v>
      </c>
      <c r="F75" s="349">
        <v>0.6</v>
      </c>
      <c r="G75" s="349">
        <v>0.3</v>
      </c>
      <c r="H75" s="348">
        <v>0.8</v>
      </c>
      <c r="I75" s="347" t="s">
        <v>578</v>
      </c>
      <c r="J75" s="350"/>
      <c r="K75" s="336"/>
      <c r="L75" s="336"/>
      <c r="M75" s="336"/>
      <c r="N75" s="336"/>
      <c r="O75" s="336"/>
      <c r="P75" s="336"/>
      <c r="Q75" s="336"/>
      <c r="R75" s="336"/>
      <c r="S75" s="336"/>
      <c r="T75" s="336"/>
      <c r="U75" s="351"/>
      <c r="V75" s="352" t="s">
        <v>379</v>
      </c>
      <c r="W75" s="323"/>
      <c r="X75" s="324">
        <v>4.38</v>
      </c>
      <c r="Z75" s="48">
        <f t="shared" si="8"/>
        <v>4.38</v>
      </c>
      <c r="AA75" s="48" t="str">
        <f t="shared" si="9"/>
        <v>-</v>
      </c>
      <c r="AB75" s="48" t="str">
        <f t="shared" si="10"/>
        <v>-</v>
      </c>
      <c r="AC75" s="48" t="str">
        <f t="shared" si="11"/>
        <v>-</v>
      </c>
      <c r="AD75" s="48" t="str">
        <f t="shared" si="12"/>
        <v>-</v>
      </c>
      <c r="AE75" s="48" t="str">
        <f t="shared" si="13"/>
        <v>-</v>
      </c>
      <c r="AF75" s="48" t="str">
        <f t="shared" si="14"/>
        <v>-</v>
      </c>
      <c r="AG75" s="48" t="str">
        <f t="shared" si="15"/>
        <v>-</v>
      </c>
    </row>
    <row r="76" spans="1:33" ht="15" thickBot="1" x14ac:dyDescent="0.35">
      <c r="A76" s="574"/>
      <c r="B76" s="346" t="s">
        <v>540</v>
      </c>
      <c r="C76" s="347">
        <v>135</v>
      </c>
      <c r="D76" s="335"/>
      <c r="E76" s="348">
        <v>0.8</v>
      </c>
      <c r="F76" s="349">
        <v>0.6</v>
      </c>
      <c r="G76" s="349">
        <v>0.3</v>
      </c>
      <c r="H76" s="348">
        <v>0.8</v>
      </c>
      <c r="I76" s="347" t="s">
        <v>578</v>
      </c>
      <c r="J76" s="350"/>
      <c r="K76" s="336"/>
      <c r="L76" s="336"/>
      <c r="M76" s="336"/>
      <c r="N76" s="336"/>
      <c r="O76" s="336"/>
      <c r="P76" s="336"/>
      <c r="Q76" s="336"/>
      <c r="R76" s="336"/>
      <c r="S76" s="336"/>
      <c r="T76" s="336"/>
      <c r="U76" s="351"/>
      <c r="V76" s="352" t="s">
        <v>379</v>
      </c>
      <c r="W76" s="323"/>
      <c r="X76" s="324">
        <v>4.3600000000000003</v>
      </c>
      <c r="Z76" s="48">
        <f t="shared" si="8"/>
        <v>4.3600000000000003</v>
      </c>
      <c r="AA76" s="48" t="str">
        <f t="shared" si="9"/>
        <v>-</v>
      </c>
      <c r="AB76" s="48" t="str">
        <f t="shared" si="10"/>
        <v>-</v>
      </c>
      <c r="AC76" s="48" t="str">
        <f t="shared" si="11"/>
        <v>-</v>
      </c>
      <c r="AD76" s="48" t="str">
        <f t="shared" si="12"/>
        <v>-</v>
      </c>
      <c r="AE76" s="48" t="str">
        <f t="shared" si="13"/>
        <v>-</v>
      </c>
      <c r="AF76" s="48" t="str">
        <f t="shared" si="14"/>
        <v>-</v>
      </c>
      <c r="AG76" s="48" t="str">
        <f t="shared" si="15"/>
        <v>-</v>
      </c>
    </row>
    <row r="77" spans="1:33" ht="15" thickBot="1" x14ac:dyDescent="0.35">
      <c r="A77" s="574"/>
      <c r="B77" s="346" t="s">
        <v>540</v>
      </c>
      <c r="C77" s="347">
        <v>143</v>
      </c>
      <c r="D77" s="335"/>
      <c r="E77" s="348">
        <v>0.8</v>
      </c>
      <c r="F77" s="349">
        <v>0.6</v>
      </c>
      <c r="G77" s="349">
        <v>0.3</v>
      </c>
      <c r="H77" s="348">
        <v>0.8</v>
      </c>
      <c r="I77" s="347" t="s">
        <v>578</v>
      </c>
      <c r="J77" s="350"/>
      <c r="K77" s="336"/>
      <c r="L77" s="336"/>
      <c r="M77" s="336"/>
      <c r="N77" s="336"/>
      <c r="O77" s="336"/>
      <c r="P77" s="336"/>
      <c r="Q77" s="336"/>
      <c r="R77" s="336"/>
      <c r="S77" s="336"/>
      <c r="T77" s="336"/>
      <c r="U77" s="351"/>
      <c r="V77" s="352" t="s">
        <v>379</v>
      </c>
      <c r="W77" s="323"/>
      <c r="X77" s="324">
        <v>4.34</v>
      </c>
      <c r="Z77" s="48">
        <f t="shared" si="8"/>
        <v>4.34</v>
      </c>
      <c r="AA77" s="48" t="str">
        <f t="shared" si="9"/>
        <v>-</v>
      </c>
      <c r="AB77" s="48" t="str">
        <f t="shared" si="10"/>
        <v>-</v>
      </c>
      <c r="AC77" s="48" t="str">
        <f t="shared" si="11"/>
        <v>-</v>
      </c>
      <c r="AD77" s="48" t="str">
        <f t="shared" si="12"/>
        <v>-</v>
      </c>
      <c r="AE77" s="48" t="str">
        <f t="shared" si="13"/>
        <v>-</v>
      </c>
      <c r="AF77" s="48" t="str">
        <f t="shared" si="14"/>
        <v>-</v>
      </c>
      <c r="AG77" s="48" t="str">
        <f t="shared" si="15"/>
        <v>-</v>
      </c>
    </row>
    <row r="78" spans="1:33" ht="15" thickBot="1" x14ac:dyDescent="0.35">
      <c r="A78" s="574"/>
      <c r="B78" s="346" t="s">
        <v>540</v>
      </c>
      <c r="C78" s="347">
        <v>151</v>
      </c>
      <c r="D78" s="335"/>
      <c r="E78" s="348">
        <v>0.8</v>
      </c>
      <c r="F78" s="349">
        <v>0.6</v>
      </c>
      <c r="G78" s="349">
        <v>0.3</v>
      </c>
      <c r="H78" s="348">
        <v>0.8</v>
      </c>
      <c r="I78" s="347" t="s">
        <v>578</v>
      </c>
      <c r="J78" s="350"/>
      <c r="K78" s="336"/>
      <c r="L78" s="336"/>
      <c r="M78" s="336"/>
      <c r="N78" s="336"/>
      <c r="O78" s="336"/>
      <c r="P78" s="336"/>
      <c r="Q78" s="336"/>
      <c r="R78" s="336"/>
      <c r="S78" s="336"/>
      <c r="T78" s="336"/>
      <c r="U78" s="351"/>
      <c r="V78" s="352" t="s">
        <v>379</v>
      </c>
      <c r="W78" s="323"/>
      <c r="X78" s="324">
        <v>4.32</v>
      </c>
      <c r="Z78" s="48">
        <f t="shared" si="8"/>
        <v>4.32</v>
      </c>
      <c r="AA78" s="48" t="str">
        <f t="shared" si="9"/>
        <v>-</v>
      </c>
      <c r="AB78" s="48" t="str">
        <f t="shared" si="10"/>
        <v>-</v>
      </c>
      <c r="AC78" s="48" t="str">
        <f t="shared" si="11"/>
        <v>-</v>
      </c>
      <c r="AD78" s="48" t="str">
        <f t="shared" si="12"/>
        <v>-</v>
      </c>
      <c r="AE78" s="48" t="str">
        <f t="shared" si="13"/>
        <v>-</v>
      </c>
      <c r="AF78" s="48" t="str">
        <f t="shared" si="14"/>
        <v>-</v>
      </c>
      <c r="AG78" s="48" t="str">
        <f t="shared" si="15"/>
        <v>-</v>
      </c>
    </row>
    <row r="79" spans="1:33" ht="15" thickBot="1" x14ac:dyDescent="0.35">
      <c r="A79" s="574"/>
      <c r="B79" s="346" t="s">
        <v>540</v>
      </c>
      <c r="C79" s="347">
        <v>165</v>
      </c>
      <c r="D79" s="335"/>
      <c r="E79" s="348">
        <v>0.8</v>
      </c>
      <c r="F79" s="349">
        <v>0.6</v>
      </c>
      <c r="G79" s="349">
        <v>0.3</v>
      </c>
      <c r="H79" s="348">
        <v>0.8</v>
      </c>
      <c r="I79" s="347" t="s">
        <v>578</v>
      </c>
      <c r="J79" s="350"/>
      <c r="K79" s="336"/>
      <c r="L79" s="336"/>
      <c r="M79" s="336"/>
      <c r="N79" s="336"/>
      <c r="O79" s="336"/>
      <c r="P79" s="336"/>
      <c r="Q79" s="336"/>
      <c r="R79" s="336"/>
      <c r="S79" s="336"/>
      <c r="T79" s="336"/>
      <c r="U79" s="351"/>
      <c r="V79" s="352" t="s">
        <v>379</v>
      </c>
      <c r="W79" s="323"/>
      <c r="X79" s="324">
        <v>4.3099999999999996</v>
      </c>
      <c r="Z79" s="48">
        <f t="shared" si="8"/>
        <v>4.3099999999999996</v>
      </c>
      <c r="AA79" s="48" t="str">
        <f t="shared" si="9"/>
        <v>-</v>
      </c>
      <c r="AB79" s="48" t="str">
        <f t="shared" si="10"/>
        <v>-</v>
      </c>
      <c r="AC79" s="48" t="str">
        <f t="shared" si="11"/>
        <v>-</v>
      </c>
      <c r="AD79" s="48" t="str">
        <f t="shared" si="12"/>
        <v>-</v>
      </c>
      <c r="AE79" s="48" t="str">
        <f t="shared" si="13"/>
        <v>-</v>
      </c>
      <c r="AF79" s="48" t="str">
        <f t="shared" si="14"/>
        <v>-</v>
      </c>
      <c r="AG79" s="48" t="str">
        <f t="shared" si="15"/>
        <v>-</v>
      </c>
    </row>
    <row r="80" spans="1:33" ht="15" thickBot="1" x14ac:dyDescent="0.35">
      <c r="A80" s="574"/>
      <c r="B80" s="346" t="s">
        <v>540</v>
      </c>
      <c r="C80" s="347">
        <v>167</v>
      </c>
      <c r="D80" s="335"/>
      <c r="E80" s="348">
        <v>0.8</v>
      </c>
      <c r="F80" s="349">
        <v>0.6</v>
      </c>
      <c r="G80" s="349">
        <v>0.3</v>
      </c>
      <c r="H80" s="348">
        <v>0.8</v>
      </c>
      <c r="I80" s="347" t="s">
        <v>578</v>
      </c>
      <c r="J80" s="350"/>
      <c r="K80" s="336"/>
      <c r="L80" s="336"/>
      <c r="M80" s="336"/>
      <c r="N80" s="336"/>
      <c r="O80" s="336"/>
      <c r="P80" s="336"/>
      <c r="Q80" s="336"/>
      <c r="R80" s="336"/>
      <c r="S80" s="336"/>
      <c r="T80" s="336"/>
      <c r="U80" s="351"/>
      <c r="V80" s="352" t="s">
        <v>379</v>
      </c>
      <c r="W80" s="323"/>
      <c r="X80" s="324">
        <v>4.29</v>
      </c>
      <c r="Z80" s="48">
        <f t="shared" si="8"/>
        <v>4.29</v>
      </c>
      <c r="AA80" s="48" t="str">
        <f t="shared" si="9"/>
        <v>-</v>
      </c>
      <c r="AB80" s="48" t="str">
        <f t="shared" si="10"/>
        <v>-</v>
      </c>
      <c r="AC80" s="48" t="str">
        <f t="shared" si="11"/>
        <v>-</v>
      </c>
      <c r="AD80" s="48" t="str">
        <f t="shared" si="12"/>
        <v>-</v>
      </c>
      <c r="AE80" s="48" t="str">
        <f t="shared" si="13"/>
        <v>-</v>
      </c>
      <c r="AF80" s="48" t="str">
        <f t="shared" si="14"/>
        <v>-</v>
      </c>
      <c r="AG80" s="48" t="str">
        <f t="shared" si="15"/>
        <v>-</v>
      </c>
    </row>
    <row r="81" spans="1:33" ht="15" thickBot="1" x14ac:dyDescent="0.35">
      <c r="A81" s="574"/>
      <c r="B81" s="346" t="s">
        <v>540</v>
      </c>
      <c r="C81" s="347">
        <v>175</v>
      </c>
      <c r="D81" s="335"/>
      <c r="E81" s="348">
        <v>0.8</v>
      </c>
      <c r="F81" s="349">
        <v>0.6</v>
      </c>
      <c r="G81" s="349">
        <v>0.3</v>
      </c>
      <c r="H81" s="348">
        <v>0.8</v>
      </c>
      <c r="I81" s="347" t="s">
        <v>578</v>
      </c>
      <c r="J81" s="350"/>
      <c r="K81" s="336"/>
      <c r="L81" s="336"/>
      <c r="M81" s="336"/>
      <c r="N81" s="336"/>
      <c r="O81" s="336"/>
      <c r="P81" s="336"/>
      <c r="Q81" s="336"/>
      <c r="R81" s="336"/>
      <c r="S81" s="336"/>
      <c r="T81" s="336"/>
      <c r="U81" s="351"/>
      <c r="V81" s="352" t="s">
        <v>379</v>
      </c>
      <c r="W81" s="323"/>
      <c r="X81" s="324">
        <v>4.2699999999999996</v>
      </c>
      <c r="Z81" s="48">
        <f t="shared" si="8"/>
        <v>4.2699999999999996</v>
      </c>
      <c r="AA81" s="48" t="str">
        <f t="shared" si="9"/>
        <v>-</v>
      </c>
      <c r="AB81" s="48" t="str">
        <f t="shared" si="10"/>
        <v>-</v>
      </c>
      <c r="AC81" s="48" t="str">
        <f t="shared" si="11"/>
        <v>-</v>
      </c>
      <c r="AD81" s="48" t="str">
        <f t="shared" si="12"/>
        <v>-</v>
      </c>
      <c r="AE81" s="48" t="str">
        <f t="shared" si="13"/>
        <v>-</v>
      </c>
      <c r="AF81" s="48" t="str">
        <f t="shared" si="14"/>
        <v>-</v>
      </c>
      <c r="AG81" s="48" t="str">
        <f t="shared" si="15"/>
        <v>-</v>
      </c>
    </row>
    <row r="82" spans="1:33" ht="15" thickBot="1" x14ac:dyDescent="0.35">
      <c r="A82" s="574"/>
      <c r="B82" s="346" t="s">
        <v>540</v>
      </c>
      <c r="C82" s="347">
        <v>183</v>
      </c>
      <c r="D82" s="335"/>
      <c r="E82" s="348">
        <v>0.8</v>
      </c>
      <c r="F82" s="349">
        <v>0.6</v>
      </c>
      <c r="G82" s="349">
        <v>0.3</v>
      </c>
      <c r="H82" s="348">
        <v>0.8</v>
      </c>
      <c r="I82" s="347" t="s">
        <v>578</v>
      </c>
      <c r="J82" s="350"/>
      <c r="K82" s="336"/>
      <c r="L82" s="336"/>
      <c r="M82" s="336"/>
      <c r="N82" s="336"/>
      <c r="O82" s="336"/>
      <c r="P82" s="336"/>
      <c r="Q82" s="336"/>
      <c r="R82" s="336"/>
      <c r="S82" s="336"/>
      <c r="T82" s="336"/>
      <c r="U82" s="351"/>
      <c r="V82" s="352" t="s">
        <v>379</v>
      </c>
      <c r="W82" s="323"/>
      <c r="X82" s="324">
        <v>4.25</v>
      </c>
      <c r="Z82" s="48">
        <f t="shared" si="8"/>
        <v>4.25</v>
      </c>
      <c r="AA82" s="48" t="str">
        <f t="shared" si="9"/>
        <v>-</v>
      </c>
      <c r="AB82" s="48" t="str">
        <f t="shared" si="10"/>
        <v>-</v>
      </c>
      <c r="AC82" s="48" t="str">
        <f t="shared" si="11"/>
        <v>-</v>
      </c>
      <c r="AD82" s="48" t="str">
        <f t="shared" si="12"/>
        <v>-</v>
      </c>
      <c r="AE82" s="48" t="str">
        <f t="shared" si="13"/>
        <v>-</v>
      </c>
      <c r="AF82" s="48" t="str">
        <f t="shared" si="14"/>
        <v>-</v>
      </c>
      <c r="AG82" s="48" t="str">
        <f t="shared" si="15"/>
        <v>-</v>
      </c>
    </row>
    <row r="83" spans="1:33" ht="15" thickBot="1" x14ac:dyDescent="0.35">
      <c r="A83" s="574"/>
      <c r="B83" s="346" t="s">
        <v>540</v>
      </c>
      <c r="C83" s="347">
        <v>191</v>
      </c>
      <c r="D83" s="335"/>
      <c r="E83" s="348">
        <v>0.8</v>
      </c>
      <c r="F83" s="349">
        <v>0.6</v>
      </c>
      <c r="G83" s="349">
        <v>0.3</v>
      </c>
      <c r="H83" s="348">
        <v>0.8</v>
      </c>
      <c r="I83" s="347" t="s">
        <v>578</v>
      </c>
      <c r="J83" s="350"/>
      <c r="K83" s="336"/>
      <c r="L83" s="336"/>
      <c r="M83" s="336"/>
      <c r="N83" s="336"/>
      <c r="O83" s="336"/>
      <c r="P83" s="336"/>
      <c r="Q83" s="336"/>
      <c r="R83" s="336"/>
      <c r="S83" s="336"/>
      <c r="T83" s="336"/>
      <c r="U83" s="351"/>
      <c r="V83" s="352" t="s">
        <v>379</v>
      </c>
      <c r="W83" s="323"/>
      <c r="X83" s="324">
        <v>4.2699999999999996</v>
      </c>
      <c r="Z83" s="48">
        <f t="shared" si="8"/>
        <v>4.2699999999999996</v>
      </c>
      <c r="AA83" s="48" t="str">
        <f t="shared" si="9"/>
        <v>-</v>
      </c>
      <c r="AB83" s="48" t="str">
        <f t="shared" si="10"/>
        <v>-</v>
      </c>
      <c r="AC83" s="48" t="str">
        <f t="shared" si="11"/>
        <v>-</v>
      </c>
      <c r="AD83" s="48" t="str">
        <f t="shared" si="12"/>
        <v>-</v>
      </c>
      <c r="AE83" s="48" t="str">
        <f t="shared" si="13"/>
        <v>-</v>
      </c>
      <c r="AF83" s="48" t="str">
        <f t="shared" si="14"/>
        <v>-</v>
      </c>
      <c r="AG83" s="48" t="str">
        <f t="shared" si="15"/>
        <v>-</v>
      </c>
    </row>
    <row r="84" spans="1:33" ht="15" thickBot="1" x14ac:dyDescent="0.35">
      <c r="A84" s="574"/>
      <c r="B84" s="346" t="s">
        <v>543</v>
      </c>
      <c r="C84" s="347">
        <v>118</v>
      </c>
      <c r="D84" s="335"/>
      <c r="E84" s="348">
        <v>0.8</v>
      </c>
      <c r="F84" s="349">
        <v>0.6</v>
      </c>
      <c r="G84" s="349">
        <v>0.3</v>
      </c>
      <c r="H84" s="348">
        <v>0.8</v>
      </c>
      <c r="I84" s="347" t="s">
        <v>578</v>
      </c>
      <c r="J84" s="350"/>
      <c r="K84" s="336"/>
      <c r="L84" s="336"/>
      <c r="M84" s="336"/>
      <c r="N84" s="336"/>
      <c r="O84" s="336"/>
      <c r="P84" s="336"/>
      <c r="Q84" s="336"/>
      <c r="R84" s="336"/>
      <c r="S84" s="336"/>
      <c r="T84" s="336"/>
      <c r="U84" s="351"/>
      <c r="V84" s="352" t="s">
        <v>379</v>
      </c>
      <c r="W84" s="323">
        <v>1</v>
      </c>
      <c r="X84" s="324">
        <v>2.0299999999999998</v>
      </c>
      <c r="Z84" s="48">
        <f t="shared" si="8"/>
        <v>2.0299999999999998</v>
      </c>
      <c r="AA84" s="48" t="str">
        <f t="shared" si="9"/>
        <v>-</v>
      </c>
      <c r="AB84" s="48" t="str">
        <f t="shared" si="10"/>
        <v>-</v>
      </c>
      <c r="AC84" s="48" t="str">
        <f t="shared" si="11"/>
        <v>-</v>
      </c>
      <c r="AD84" s="48" t="str">
        <f t="shared" si="12"/>
        <v>-</v>
      </c>
      <c r="AE84" s="48" t="str">
        <f t="shared" si="13"/>
        <v>-</v>
      </c>
      <c r="AF84" s="48" t="str">
        <f t="shared" si="14"/>
        <v>-</v>
      </c>
      <c r="AG84" s="48" t="str">
        <f t="shared" si="15"/>
        <v>-</v>
      </c>
    </row>
    <row r="85" spans="1:33" ht="15" thickBot="1" x14ac:dyDescent="0.35">
      <c r="A85" s="574"/>
      <c r="B85" s="346" t="s">
        <v>543</v>
      </c>
      <c r="C85" s="347">
        <v>126</v>
      </c>
      <c r="D85" s="335"/>
      <c r="E85" s="348">
        <v>0.8</v>
      </c>
      <c r="F85" s="349">
        <v>0.6</v>
      </c>
      <c r="G85" s="349">
        <v>0.3</v>
      </c>
      <c r="H85" s="348">
        <v>0.8</v>
      </c>
      <c r="I85" s="347" t="s">
        <v>578</v>
      </c>
      <c r="J85" s="350"/>
      <c r="K85" s="336"/>
      <c r="L85" s="336"/>
      <c r="M85" s="336"/>
      <c r="N85" s="336"/>
      <c r="O85" s="336"/>
      <c r="P85" s="336"/>
      <c r="Q85" s="336"/>
      <c r="R85" s="336"/>
      <c r="S85" s="336"/>
      <c r="T85" s="336"/>
      <c r="U85" s="351"/>
      <c r="V85" s="352" t="s">
        <v>379</v>
      </c>
      <c r="W85" s="323">
        <v>1</v>
      </c>
      <c r="X85" s="324">
        <v>2.0499999999999998</v>
      </c>
      <c r="Z85" s="48">
        <f t="shared" si="8"/>
        <v>2.0499999999999998</v>
      </c>
      <c r="AA85" s="48" t="str">
        <f t="shared" si="9"/>
        <v>-</v>
      </c>
      <c r="AB85" s="48" t="str">
        <f t="shared" si="10"/>
        <v>-</v>
      </c>
      <c r="AC85" s="48" t="str">
        <f t="shared" si="11"/>
        <v>-</v>
      </c>
      <c r="AD85" s="48" t="str">
        <f t="shared" si="12"/>
        <v>-</v>
      </c>
      <c r="AE85" s="48" t="str">
        <f t="shared" si="13"/>
        <v>-</v>
      </c>
      <c r="AF85" s="48" t="str">
        <f t="shared" si="14"/>
        <v>-</v>
      </c>
      <c r="AG85" s="48" t="str">
        <f t="shared" si="15"/>
        <v>-</v>
      </c>
    </row>
    <row r="86" spans="1:33" ht="15" thickBot="1" x14ac:dyDescent="0.35">
      <c r="A86" s="574"/>
      <c r="B86" s="346" t="s">
        <v>543</v>
      </c>
      <c r="C86" s="347">
        <v>134</v>
      </c>
      <c r="D86" s="335"/>
      <c r="E86" s="348">
        <v>0.8</v>
      </c>
      <c r="F86" s="349">
        <v>0.6</v>
      </c>
      <c r="G86" s="349">
        <v>0.3</v>
      </c>
      <c r="H86" s="348">
        <v>0.8</v>
      </c>
      <c r="I86" s="347" t="s">
        <v>578</v>
      </c>
      <c r="J86" s="350"/>
      <c r="K86" s="336"/>
      <c r="L86" s="336"/>
      <c r="M86" s="336"/>
      <c r="N86" s="336"/>
      <c r="O86" s="336"/>
      <c r="P86" s="336"/>
      <c r="Q86" s="336"/>
      <c r="R86" s="336"/>
      <c r="S86" s="336"/>
      <c r="T86" s="336"/>
      <c r="U86" s="351"/>
      <c r="V86" s="352" t="s">
        <v>379</v>
      </c>
      <c r="W86" s="323">
        <v>1</v>
      </c>
      <c r="X86" s="324">
        <v>2.06</v>
      </c>
      <c r="Z86" s="48">
        <f t="shared" si="8"/>
        <v>2.06</v>
      </c>
      <c r="AA86" s="48" t="str">
        <f t="shared" si="9"/>
        <v>-</v>
      </c>
      <c r="AB86" s="48" t="str">
        <f t="shared" si="10"/>
        <v>-</v>
      </c>
      <c r="AC86" s="48" t="str">
        <f t="shared" si="11"/>
        <v>-</v>
      </c>
      <c r="AD86" s="48" t="str">
        <f t="shared" si="12"/>
        <v>-</v>
      </c>
      <c r="AE86" s="48" t="str">
        <f t="shared" si="13"/>
        <v>-</v>
      </c>
      <c r="AF86" s="48" t="str">
        <f t="shared" si="14"/>
        <v>-</v>
      </c>
      <c r="AG86" s="48" t="str">
        <f t="shared" si="15"/>
        <v>-</v>
      </c>
    </row>
    <row r="87" spans="1:33" ht="15" thickBot="1" x14ac:dyDescent="0.35">
      <c r="A87" s="574"/>
      <c r="B87" s="346" t="s">
        <v>543</v>
      </c>
      <c r="C87" s="347">
        <v>142</v>
      </c>
      <c r="D87" s="335"/>
      <c r="E87" s="348">
        <v>0.8</v>
      </c>
      <c r="F87" s="349">
        <v>0.6</v>
      </c>
      <c r="G87" s="349">
        <v>0.3</v>
      </c>
      <c r="H87" s="348">
        <v>0.8</v>
      </c>
      <c r="I87" s="347" t="s">
        <v>578</v>
      </c>
      <c r="J87" s="350"/>
      <c r="K87" s="336"/>
      <c r="L87" s="336"/>
      <c r="M87" s="336"/>
      <c r="N87" s="336"/>
      <c r="O87" s="336"/>
      <c r="P87" s="336"/>
      <c r="Q87" s="336"/>
      <c r="R87" s="336"/>
      <c r="S87" s="336"/>
      <c r="T87" s="336"/>
      <c r="U87" s="351"/>
      <c r="V87" s="352" t="s">
        <v>379</v>
      </c>
      <c r="W87" s="323">
        <v>1</v>
      </c>
      <c r="X87" s="324">
        <v>2.0699999999999998</v>
      </c>
      <c r="Z87" s="48">
        <f t="shared" si="8"/>
        <v>2.0699999999999998</v>
      </c>
      <c r="AA87" s="48" t="str">
        <f t="shared" si="9"/>
        <v>-</v>
      </c>
      <c r="AB87" s="48" t="str">
        <f t="shared" si="10"/>
        <v>-</v>
      </c>
      <c r="AC87" s="48" t="str">
        <f t="shared" si="11"/>
        <v>-</v>
      </c>
      <c r="AD87" s="48" t="str">
        <f t="shared" si="12"/>
        <v>-</v>
      </c>
      <c r="AE87" s="48" t="str">
        <f t="shared" si="13"/>
        <v>-</v>
      </c>
      <c r="AF87" s="48" t="str">
        <f t="shared" si="14"/>
        <v>-</v>
      </c>
      <c r="AG87" s="48" t="str">
        <f t="shared" si="15"/>
        <v>-</v>
      </c>
    </row>
    <row r="88" spans="1:33" ht="15" thickBot="1" x14ac:dyDescent="0.35">
      <c r="A88" s="574"/>
      <c r="B88" s="346" t="s">
        <v>543</v>
      </c>
      <c r="C88" s="347">
        <v>150</v>
      </c>
      <c r="D88" s="335"/>
      <c r="E88" s="348">
        <v>0.8</v>
      </c>
      <c r="F88" s="349">
        <v>0.6</v>
      </c>
      <c r="G88" s="349">
        <v>0.3</v>
      </c>
      <c r="H88" s="348">
        <v>0.8</v>
      </c>
      <c r="I88" s="347" t="s">
        <v>578</v>
      </c>
      <c r="J88" s="350"/>
      <c r="K88" s="336"/>
      <c r="L88" s="336"/>
      <c r="M88" s="336"/>
      <c r="N88" s="336"/>
      <c r="O88" s="336"/>
      <c r="P88" s="336"/>
      <c r="Q88" s="336"/>
      <c r="R88" s="336"/>
      <c r="S88" s="336"/>
      <c r="T88" s="336"/>
      <c r="U88" s="351"/>
      <c r="V88" s="352" t="s">
        <v>379</v>
      </c>
      <c r="W88" s="323">
        <v>1</v>
      </c>
      <c r="X88" s="324">
        <v>2.0499999999999998</v>
      </c>
      <c r="Z88" s="48">
        <f t="shared" si="8"/>
        <v>2.0499999999999998</v>
      </c>
      <c r="AA88" s="48" t="str">
        <f t="shared" si="9"/>
        <v>-</v>
      </c>
      <c r="AB88" s="48" t="str">
        <f t="shared" si="10"/>
        <v>-</v>
      </c>
      <c r="AC88" s="48" t="str">
        <f t="shared" si="11"/>
        <v>-</v>
      </c>
      <c r="AD88" s="48" t="str">
        <f t="shared" si="12"/>
        <v>-</v>
      </c>
      <c r="AE88" s="48" t="str">
        <f t="shared" si="13"/>
        <v>-</v>
      </c>
      <c r="AF88" s="48" t="str">
        <f t="shared" si="14"/>
        <v>-</v>
      </c>
      <c r="AG88" s="48" t="str">
        <f t="shared" si="15"/>
        <v>-</v>
      </c>
    </row>
    <row r="89" spans="1:33" ht="15" thickBot="1" x14ac:dyDescent="0.35">
      <c r="A89" s="574"/>
      <c r="B89" s="346" t="s">
        <v>543</v>
      </c>
      <c r="C89" s="347">
        <v>158</v>
      </c>
      <c r="D89" s="335"/>
      <c r="E89" s="348">
        <v>0.8</v>
      </c>
      <c r="F89" s="349">
        <v>0.6</v>
      </c>
      <c r="G89" s="349">
        <v>0.3</v>
      </c>
      <c r="H89" s="348">
        <v>0.8</v>
      </c>
      <c r="I89" s="347" t="s">
        <v>578</v>
      </c>
      <c r="J89" s="350"/>
      <c r="K89" s="336"/>
      <c r="L89" s="336"/>
      <c r="M89" s="336"/>
      <c r="N89" s="336"/>
      <c r="O89" s="336"/>
      <c r="P89" s="336"/>
      <c r="Q89" s="336"/>
      <c r="R89" s="336"/>
      <c r="S89" s="336"/>
      <c r="T89" s="336"/>
      <c r="U89" s="351"/>
      <c r="V89" s="352" t="s">
        <v>379</v>
      </c>
      <c r="W89" s="323">
        <v>1</v>
      </c>
      <c r="X89" s="324">
        <v>11.57</v>
      </c>
      <c r="Z89" s="48">
        <f t="shared" si="8"/>
        <v>11.57</v>
      </c>
      <c r="AA89" s="48" t="str">
        <f t="shared" si="9"/>
        <v>-</v>
      </c>
      <c r="AB89" s="48" t="str">
        <f t="shared" si="10"/>
        <v>-</v>
      </c>
      <c r="AC89" s="48" t="str">
        <f t="shared" si="11"/>
        <v>-</v>
      </c>
      <c r="AD89" s="48" t="str">
        <f t="shared" si="12"/>
        <v>-</v>
      </c>
      <c r="AE89" s="48" t="str">
        <f t="shared" si="13"/>
        <v>-</v>
      </c>
      <c r="AF89" s="48" t="str">
        <f t="shared" si="14"/>
        <v>-</v>
      </c>
      <c r="AG89" s="48" t="str">
        <f t="shared" si="15"/>
        <v>-</v>
      </c>
    </row>
    <row r="90" spans="1:33" ht="15" thickBot="1" x14ac:dyDescent="0.35">
      <c r="A90" s="574"/>
      <c r="B90" s="346" t="s">
        <v>543</v>
      </c>
      <c r="C90" s="347">
        <v>166</v>
      </c>
      <c r="D90" s="335"/>
      <c r="E90" s="348">
        <v>0.8</v>
      </c>
      <c r="F90" s="349">
        <v>0.6</v>
      </c>
      <c r="G90" s="349">
        <v>0.3</v>
      </c>
      <c r="H90" s="348">
        <v>0.8</v>
      </c>
      <c r="I90" s="347" t="s">
        <v>578</v>
      </c>
      <c r="J90" s="350"/>
      <c r="K90" s="336"/>
      <c r="L90" s="336"/>
      <c r="M90" s="336"/>
      <c r="N90" s="336"/>
      <c r="O90" s="336"/>
      <c r="P90" s="336"/>
      <c r="Q90" s="336"/>
      <c r="R90" s="336"/>
      <c r="S90" s="336"/>
      <c r="T90" s="336"/>
      <c r="U90" s="351"/>
      <c r="V90" s="352" t="s">
        <v>379</v>
      </c>
      <c r="W90" s="323">
        <v>1</v>
      </c>
      <c r="X90" s="324">
        <v>11.56</v>
      </c>
      <c r="Z90" s="48">
        <f t="shared" si="8"/>
        <v>11.56</v>
      </c>
      <c r="AA90" s="48" t="str">
        <f t="shared" si="9"/>
        <v>-</v>
      </c>
      <c r="AB90" s="48" t="str">
        <f t="shared" si="10"/>
        <v>-</v>
      </c>
      <c r="AC90" s="48" t="str">
        <f t="shared" si="11"/>
        <v>-</v>
      </c>
      <c r="AD90" s="48" t="str">
        <f t="shared" si="12"/>
        <v>-</v>
      </c>
      <c r="AE90" s="48" t="str">
        <f t="shared" si="13"/>
        <v>-</v>
      </c>
      <c r="AF90" s="48" t="str">
        <f t="shared" si="14"/>
        <v>-</v>
      </c>
      <c r="AG90" s="48" t="str">
        <f t="shared" si="15"/>
        <v>-</v>
      </c>
    </row>
    <row r="91" spans="1:33" ht="15" thickBot="1" x14ac:dyDescent="0.35">
      <c r="A91" s="574"/>
      <c r="B91" s="346" t="s">
        <v>543</v>
      </c>
      <c r="C91" s="347">
        <v>174</v>
      </c>
      <c r="D91" s="335"/>
      <c r="E91" s="348">
        <v>0.8</v>
      </c>
      <c r="F91" s="349">
        <v>0.6</v>
      </c>
      <c r="G91" s="349">
        <v>0.3</v>
      </c>
      <c r="H91" s="348">
        <v>0.8</v>
      </c>
      <c r="I91" s="347" t="s">
        <v>578</v>
      </c>
      <c r="J91" s="350"/>
      <c r="K91" s="336"/>
      <c r="L91" s="336"/>
      <c r="M91" s="336"/>
      <c r="N91" s="336"/>
      <c r="O91" s="336"/>
      <c r="P91" s="336"/>
      <c r="Q91" s="336"/>
      <c r="R91" s="336"/>
      <c r="S91" s="336"/>
      <c r="T91" s="336"/>
      <c r="U91" s="351"/>
      <c r="V91" s="352" t="s">
        <v>379</v>
      </c>
      <c r="W91" s="323">
        <v>1</v>
      </c>
      <c r="X91" s="324">
        <v>11.55</v>
      </c>
      <c r="Z91" s="48">
        <f t="shared" si="8"/>
        <v>11.55</v>
      </c>
      <c r="AA91" s="48" t="str">
        <f t="shared" si="9"/>
        <v>-</v>
      </c>
      <c r="AB91" s="48" t="str">
        <f t="shared" si="10"/>
        <v>-</v>
      </c>
      <c r="AC91" s="48" t="str">
        <f t="shared" si="11"/>
        <v>-</v>
      </c>
      <c r="AD91" s="48" t="str">
        <f t="shared" si="12"/>
        <v>-</v>
      </c>
      <c r="AE91" s="48" t="str">
        <f t="shared" si="13"/>
        <v>-</v>
      </c>
      <c r="AF91" s="48" t="str">
        <f t="shared" si="14"/>
        <v>-</v>
      </c>
      <c r="AG91" s="48" t="str">
        <f t="shared" si="15"/>
        <v>-</v>
      </c>
    </row>
    <row r="92" spans="1:33" ht="15" thickBot="1" x14ac:dyDescent="0.35">
      <c r="A92" s="574"/>
      <c r="B92" s="346" t="s">
        <v>543</v>
      </c>
      <c r="C92" s="347">
        <v>182</v>
      </c>
      <c r="D92" s="335"/>
      <c r="E92" s="348">
        <v>0.8</v>
      </c>
      <c r="F92" s="349">
        <v>0.6</v>
      </c>
      <c r="G92" s="349">
        <v>0.3</v>
      </c>
      <c r="H92" s="348">
        <v>0.8</v>
      </c>
      <c r="I92" s="347" t="s">
        <v>578</v>
      </c>
      <c r="J92" s="350"/>
      <c r="K92" s="336"/>
      <c r="L92" s="336"/>
      <c r="M92" s="336"/>
      <c r="N92" s="336"/>
      <c r="O92" s="336"/>
      <c r="P92" s="336"/>
      <c r="Q92" s="336"/>
      <c r="R92" s="336"/>
      <c r="S92" s="336"/>
      <c r="T92" s="336"/>
      <c r="U92" s="351"/>
      <c r="V92" s="352" t="s">
        <v>379</v>
      </c>
      <c r="W92" s="323">
        <v>1</v>
      </c>
      <c r="X92" s="324">
        <v>11.53</v>
      </c>
      <c r="Z92" s="48">
        <f t="shared" si="8"/>
        <v>11.53</v>
      </c>
      <c r="AA92" s="48" t="str">
        <f t="shared" si="9"/>
        <v>-</v>
      </c>
      <c r="AB92" s="48" t="str">
        <f t="shared" si="10"/>
        <v>-</v>
      </c>
      <c r="AC92" s="48" t="str">
        <f t="shared" si="11"/>
        <v>-</v>
      </c>
      <c r="AD92" s="48" t="str">
        <f t="shared" si="12"/>
        <v>-</v>
      </c>
      <c r="AE92" s="48" t="str">
        <f t="shared" si="13"/>
        <v>-</v>
      </c>
      <c r="AF92" s="48" t="str">
        <f t="shared" si="14"/>
        <v>-</v>
      </c>
      <c r="AG92" s="48" t="str">
        <f t="shared" si="15"/>
        <v>-</v>
      </c>
    </row>
    <row r="93" spans="1:33" ht="15" thickBot="1" x14ac:dyDescent="0.35">
      <c r="A93" s="575"/>
      <c r="B93" s="367" t="s">
        <v>543</v>
      </c>
      <c r="C93" s="368">
        <v>190</v>
      </c>
      <c r="D93" s="335"/>
      <c r="E93" s="369">
        <v>0.8</v>
      </c>
      <c r="F93" s="370">
        <v>0.6</v>
      </c>
      <c r="G93" s="370">
        <v>0.3</v>
      </c>
      <c r="H93" s="369">
        <v>0.8</v>
      </c>
      <c r="I93" s="368" t="s">
        <v>578</v>
      </c>
      <c r="J93" s="371"/>
      <c r="K93" s="336"/>
      <c r="L93" s="336"/>
      <c r="M93" s="336"/>
      <c r="N93" s="336"/>
      <c r="O93" s="336"/>
      <c r="P93" s="336"/>
      <c r="Q93" s="336"/>
      <c r="R93" s="336"/>
      <c r="S93" s="336"/>
      <c r="T93" s="336"/>
      <c r="U93" s="351"/>
      <c r="V93" s="352" t="s">
        <v>379</v>
      </c>
      <c r="W93" s="329">
        <v>1</v>
      </c>
      <c r="X93" s="330">
        <v>11.52</v>
      </c>
      <c r="Z93" s="48">
        <f t="shared" si="8"/>
        <v>11.52</v>
      </c>
      <c r="AA93" s="48" t="str">
        <f t="shared" si="9"/>
        <v>-</v>
      </c>
      <c r="AB93" s="48" t="str">
        <f t="shared" si="10"/>
        <v>-</v>
      </c>
      <c r="AC93" s="48" t="str">
        <f t="shared" si="11"/>
        <v>-</v>
      </c>
      <c r="AD93" s="48" t="str">
        <f t="shared" si="12"/>
        <v>-</v>
      </c>
      <c r="AE93" s="48" t="str">
        <f t="shared" si="13"/>
        <v>-</v>
      </c>
      <c r="AF93" s="48" t="str">
        <f t="shared" si="14"/>
        <v>-</v>
      </c>
      <c r="AG93" s="48" t="str">
        <f t="shared" si="15"/>
        <v>-</v>
      </c>
    </row>
    <row r="94" spans="1:33" ht="15" thickBot="1" x14ac:dyDescent="0.35">
      <c r="A94" s="576" t="s">
        <v>146</v>
      </c>
      <c r="B94" s="337" t="s">
        <v>540</v>
      </c>
      <c r="C94" s="338">
        <v>10</v>
      </c>
      <c r="D94" s="339"/>
      <c r="E94" s="340">
        <v>0.8</v>
      </c>
      <c r="F94" s="341">
        <v>0.6</v>
      </c>
      <c r="G94" s="341">
        <v>0.3</v>
      </c>
      <c r="H94" s="340">
        <v>0.8</v>
      </c>
      <c r="I94" s="338" t="s">
        <v>578</v>
      </c>
      <c r="J94" s="342"/>
      <c r="K94" s="343"/>
      <c r="L94" s="343"/>
      <c r="M94" s="343"/>
      <c r="N94" s="343"/>
      <c r="O94" s="343"/>
      <c r="P94" s="343"/>
      <c r="Q94" s="343"/>
      <c r="R94" s="343"/>
      <c r="S94" s="343"/>
      <c r="T94" s="343"/>
      <c r="U94" s="344"/>
      <c r="V94" s="345" t="s">
        <v>379</v>
      </c>
      <c r="W94" s="321"/>
      <c r="X94" s="322">
        <v>4.75</v>
      </c>
      <c r="Z94" s="48">
        <f t="shared" si="8"/>
        <v>4.75</v>
      </c>
      <c r="AA94" s="48" t="str">
        <f t="shared" si="9"/>
        <v>-</v>
      </c>
      <c r="AB94" s="48" t="str">
        <f t="shared" si="10"/>
        <v>-</v>
      </c>
      <c r="AC94" s="48" t="str">
        <f t="shared" si="11"/>
        <v>-</v>
      </c>
      <c r="AD94" s="48" t="str">
        <f t="shared" si="12"/>
        <v>-</v>
      </c>
      <c r="AE94" s="48" t="str">
        <f t="shared" si="13"/>
        <v>-</v>
      </c>
      <c r="AF94" s="48" t="str">
        <f t="shared" si="14"/>
        <v>-</v>
      </c>
      <c r="AG94" s="48" t="str">
        <f t="shared" si="15"/>
        <v>-</v>
      </c>
    </row>
    <row r="95" spans="1:33" ht="15" thickBot="1" x14ac:dyDescent="0.35">
      <c r="A95" s="574"/>
      <c r="B95" s="346" t="s">
        <v>540</v>
      </c>
      <c r="C95" s="347">
        <v>217</v>
      </c>
      <c r="D95" s="335"/>
      <c r="E95" s="348">
        <v>0.8</v>
      </c>
      <c r="F95" s="349">
        <v>0.6</v>
      </c>
      <c r="G95" s="349">
        <v>0.3</v>
      </c>
      <c r="H95" s="348">
        <v>0.8</v>
      </c>
      <c r="I95" s="347" t="s">
        <v>578</v>
      </c>
      <c r="J95" s="350"/>
      <c r="K95" s="336"/>
      <c r="L95" s="336"/>
      <c r="M95" s="336"/>
      <c r="N95" s="336"/>
      <c r="O95" s="336"/>
      <c r="P95" s="336"/>
      <c r="Q95" s="336"/>
      <c r="R95" s="336"/>
      <c r="S95" s="336"/>
      <c r="T95" s="336"/>
      <c r="U95" s="351"/>
      <c r="V95" s="352" t="s">
        <v>379</v>
      </c>
      <c r="W95" s="323"/>
      <c r="X95" s="324">
        <v>4.8499999999999996</v>
      </c>
      <c r="Z95" s="48">
        <f t="shared" si="8"/>
        <v>4.8499999999999996</v>
      </c>
      <c r="AA95" s="48" t="str">
        <f t="shared" si="9"/>
        <v>-</v>
      </c>
      <c r="AB95" s="48" t="str">
        <f t="shared" si="10"/>
        <v>-</v>
      </c>
      <c r="AC95" s="48" t="str">
        <f t="shared" si="11"/>
        <v>-</v>
      </c>
      <c r="AD95" s="48" t="str">
        <f t="shared" si="12"/>
        <v>-</v>
      </c>
      <c r="AE95" s="48" t="str">
        <f t="shared" si="13"/>
        <v>-</v>
      </c>
      <c r="AF95" s="48" t="str">
        <f t="shared" si="14"/>
        <v>-</v>
      </c>
      <c r="AG95" s="48" t="str">
        <f t="shared" si="15"/>
        <v>-</v>
      </c>
    </row>
    <row r="96" spans="1:33" ht="15" thickBot="1" x14ac:dyDescent="0.35">
      <c r="A96" s="574"/>
      <c r="B96" s="346" t="s">
        <v>540</v>
      </c>
      <c r="C96" s="347">
        <v>203</v>
      </c>
      <c r="D96" s="335"/>
      <c r="E96" s="348">
        <v>0.8</v>
      </c>
      <c r="F96" s="349">
        <v>0.6</v>
      </c>
      <c r="G96" s="349">
        <v>0.3</v>
      </c>
      <c r="H96" s="348">
        <v>0.8</v>
      </c>
      <c r="I96" s="347" t="s">
        <v>578</v>
      </c>
      <c r="J96" s="350"/>
      <c r="K96" s="336"/>
      <c r="L96" s="336"/>
      <c r="M96" s="336"/>
      <c r="N96" s="336"/>
      <c r="O96" s="336"/>
      <c r="P96" s="336"/>
      <c r="Q96" s="336"/>
      <c r="R96" s="336"/>
      <c r="S96" s="336"/>
      <c r="T96" s="336"/>
      <c r="U96" s="351"/>
      <c r="V96" s="352" t="s">
        <v>379</v>
      </c>
      <c r="W96" s="323"/>
      <c r="X96" s="324">
        <v>4.9800000000000004</v>
      </c>
      <c r="Z96" s="48">
        <f t="shared" si="8"/>
        <v>4.9800000000000004</v>
      </c>
      <c r="AA96" s="48" t="str">
        <f t="shared" si="9"/>
        <v>-</v>
      </c>
      <c r="AB96" s="48" t="str">
        <f t="shared" si="10"/>
        <v>-</v>
      </c>
      <c r="AC96" s="48" t="str">
        <f t="shared" si="11"/>
        <v>-</v>
      </c>
      <c r="AD96" s="48" t="str">
        <f t="shared" si="12"/>
        <v>-</v>
      </c>
      <c r="AE96" s="48" t="str">
        <f t="shared" si="13"/>
        <v>-</v>
      </c>
      <c r="AF96" s="48" t="str">
        <f t="shared" si="14"/>
        <v>-</v>
      </c>
      <c r="AG96" s="48" t="str">
        <f t="shared" si="15"/>
        <v>-</v>
      </c>
    </row>
    <row r="97" spans="1:33" ht="15" thickBot="1" x14ac:dyDescent="0.35">
      <c r="A97" s="574"/>
      <c r="B97" s="346" t="s">
        <v>540</v>
      </c>
      <c r="C97" s="347">
        <v>245</v>
      </c>
      <c r="D97" s="335"/>
      <c r="E97" s="348">
        <v>0.8</v>
      </c>
      <c r="F97" s="349">
        <v>0.6</v>
      </c>
      <c r="G97" s="349">
        <v>0.3</v>
      </c>
      <c r="H97" s="348">
        <v>0.8</v>
      </c>
      <c r="I97" s="347" t="s">
        <v>578</v>
      </c>
      <c r="J97" s="350"/>
      <c r="K97" s="336"/>
      <c r="L97" s="336"/>
      <c r="M97" s="336"/>
      <c r="N97" s="336"/>
      <c r="O97" s="336"/>
      <c r="P97" s="336"/>
      <c r="Q97" s="336"/>
      <c r="R97" s="336"/>
      <c r="S97" s="336"/>
      <c r="T97" s="336"/>
      <c r="U97" s="351"/>
      <c r="V97" s="352" t="s">
        <v>379</v>
      </c>
      <c r="W97" s="323"/>
      <c r="X97" s="324">
        <v>5.07</v>
      </c>
      <c r="Z97" s="48">
        <f t="shared" si="8"/>
        <v>5.07</v>
      </c>
      <c r="AA97" s="48" t="str">
        <f t="shared" si="9"/>
        <v>-</v>
      </c>
      <c r="AB97" s="48" t="str">
        <f t="shared" si="10"/>
        <v>-</v>
      </c>
      <c r="AC97" s="48" t="str">
        <f t="shared" si="11"/>
        <v>-</v>
      </c>
      <c r="AD97" s="48" t="str">
        <f t="shared" si="12"/>
        <v>-</v>
      </c>
      <c r="AE97" s="48" t="str">
        <f t="shared" si="13"/>
        <v>-</v>
      </c>
      <c r="AF97" s="48" t="str">
        <f t="shared" si="14"/>
        <v>-</v>
      </c>
      <c r="AG97" s="48" t="str">
        <f t="shared" si="15"/>
        <v>-</v>
      </c>
    </row>
    <row r="98" spans="1:33" ht="15" thickBot="1" x14ac:dyDescent="0.35">
      <c r="A98" s="574"/>
      <c r="B98" s="346" t="s">
        <v>540</v>
      </c>
      <c r="C98" s="347">
        <v>247</v>
      </c>
      <c r="D98" s="335"/>
      <c r="E98" s="348">
        <v>0.8</v>
      </c>
      <c r="F98" s="349">
        <v>0.6</v>
      </c>
      <c r="G98" s="349">
        <v>0.3</v>
      </c>
      <c r="H98" s="348">
        <v>0.8</v>
      </c>
      <c r="I98" s="347" t="s">
        <v>578</v>
      </c>
      <c r="J98" s="350"/>
      <c r="K98" s="336"/>
      <c r="L98" s="336"/>
      <c r="M98" s="336"/>
      <c r="N98" s="336"/>
      <c r="O98" s="336"/>
      <c r="P98" s="336"/>
      <c r="Q98" s="336"/>
      <c r="R98" s="336"/>
      <c r="S98" s="336"/>
      <c r="T98" s="336"/>
      <c r="U98" s="351"/>
      <c r="V98" s="352" t="s">
        <v>379</v>
      </c>
      <c r="W98" s="323"/>
      <c r="X98" s="324">
        <v>5.18</v>
      </c>
      <c r="Z98" s="48">
        <f t="shared" si="8"/>
        <v>5.18</v>
      </c>
      <c r="AA98" s="48" t="str">
        <f t="shared" si="9"/>
        <v>-</v>
      </c>
      <c r="AB98" s="48" t="str">
        <f t="shared" si="10"/>
        <v>-</v>
      </c>
      <c r="AC98" s="48" t="str">
        <f t="shared" si="11"/>
        <v>-</v>
      </c>
      <c r="AD98" s="48" t="str">
        <f t="shared" si="12"/>
        <v>-</v>
      </c>
      <c r="AE98" s="48" t="str">
        <f t="shared" si="13"/>
        <v>-</v>
      </c>
      <c r="AF98" s="48" t="str">
        <f t="shared" si="14"/>
        <v>-</v>
      </c>
      <c r="AG98" s="48" t="str">
        <f t="shared" si="15"/>
        <v>-</v>
      </c>
    </row>
    <row r="99" spans="1:33" ht="15" thickBot="1" x14ac:dyDescent="0.35">
      <c r="A99" s="574"/>
      <c r="B99" s="346" t="s">
        <v>544</v>
      </c>
      <c r="C99" s="347">
        <v>269</v>
      </c>
      <c r="D99" s="335"/>
      <c r="E99" s="348">
        <v>0.8</v>
      </c>
      <c r="F99" s="349">
        <v>0.6</v>
      </c>
      <c r="G99" s="349">
        <v>0.3</v>
      </c>
      <c r="H99" s="348">
        <v>0.8</v>
      </c>
      <c r="I99" s="347" t="s">
        <v>578</v>
      </c>
      <c r="J99" s="350"/>
      <c r="K99" s="336"/>
      <c r="L99" s="336"/>
      <c r="M99" s="336"/>
      <c r="N99" s="336"/>
      <c r="O99" s="336"/>
      <c r="P99" s="336"/>
      <c r="Q99" s="336"/>
      <c r="R99" s="336"/>
      <c r="S99" s="336"/>
      <c r="T99" s="336"/>
      <c r="U99" s="351"/>
      <c r="V99" s="352" t="s">
        <v>379</v>
      </c>
      <c r="W99" s="323">
        <v>1</v>
      </c>
      <c r="X99" s="324">
        <v>2.0499999999999998</v>
      </c>
      <c r="Z99" s="48">
        <f t="shared" si="8"/>
        <v>2.0499999999999998</v>
      </c>
      <c r="AA99" s="48" t="str">
        <f t="shared" si="9"/>
        <v>-</v>
      </c>
      <c r="AB99" s="48" t="str">
        <f t="shared" si="10"/>
        <v>-</v>
      </c>
      <c r="AC99" s="48" t="str">
        <f t="shared" si="11"/>
        <v>-</v>
      </c>
      <c r="AD99" s="48" t="str">
        <f t="shared" si="12"/>
        <v>-</v>
      </c>
      <c r="AE99" s="48" t="str">
        <f t="shared" si="13"/>
        <v>-</v>
      </c>
      <c r="AF99" s="48" t="str">
        <f t="shared" si="14"/>
        <v>-</v>
      </c>
      <c r="AG99" s="48" t="str">
        <f t="shared" si="15"/>
        <v>-</v>
      </c>
    </row>
    <row r="100" spans="1:33" ht="15" thickBot="1" x14ac:dyDescent="0.35">
      <c r="A100" s="574"/>
      <c r="B100" s="346" t="s">
        <v>544</v>
      </c>
      <c r="C100" s="347">
        <v>263</v>
      </c>
      <c r="D100" s="335"/>
      <c r="E100" s="348">
        <v>0.8</v>
      </c>
      <c r="F100" s="349">
        <v>0.6</v>
      </c>
      <c r="G100" s="349">
        <v>0.3</v>
      </c>
      <c r="H100" s="348">
        <v>0.8</v>
      </c>
      <c r="I100" s="347" t="s">
        <v>578</v>
      </c>
      <c r="J100" s="350"/>
      <c r="K100" s="336"/>
      <c r="L100" s="336"/>
      <c r="M100" s="336"/>
      <c r="N100" s="336"/>
      <c r="O100" s="336"/>
      <c r="P100" s="336"/>
      <c r="Q100" s="336"/>
      <c r="R100" s="336"/>
      <c r="S100" s="336"/>
      <c r="T100" s="336"/>
      <c r="U100" s="351"/>
      <c r="V100" s="352" t="s">
        <v>379</v>
      </c>
      <c r="W100" s="323">
        <v>1</v>
      </c>
      <c r="X100" s="324">
        <v>2.06</v>
      </c>
      <c r="Z100" s="48">
        <f t="shared" si="8"/>
        <v>2.06</v>
      </c>
      <c r="AA100" s="48" t="str">
        <f t="shared" si="9"/>
        <v>-</v>
      </c>
      <c r="AB100" s="48" t="str">
        <f t="shared" si="10"/>
        <v>-</v>
      </c>
      <c r="AC100" s="48" t="str">
        <f t="shared" si="11"/>
        <v>-</v>
      </c>
      <c r="AD100" s="48" t="str">
        <f t="shared" si="12"/>
        <v>-</v>
      </c>
      <c r="AE100" s="48" t="str">
        <f t="shared" si="13"/>
        <v>-</v>
      </c>
      <c r="AF100" s="48" t="str">
        <f t="shared" si="14"/>
        <v>-</v>
      </c>
      <c r="AG100" s="48" t="str">
        <f t="shared" si="15"/>
        <v>-</v>
      </c>
    </row>
    <row r="101" spans="1:33" ht="15" thickBot="1" x14ac:dyDescent="0.35">
      <c r="A101" s="574"/>
      <c r="B101" s="346" t="s">
        <v>544</v>
      </c>
      <c r="C101" s="347">
        <v>225</v>
      </c>
      <c r="D101" s="335"/>
      <c r="E101" s="348">
        <v>0.8</v>
      </c>
      <c r="F101" s="349">
        <v>0.6</v>
      </c>
      <c r="G101" s="349">
        <v>0.3</v>
      </c>
      <c r="H101" s="348">
        <v>0.8</v>
      </c>
      <c r="I101" s="347" t="s">
        <v>578</v>
      </c>
      <c r="J101" s="350"/>
      <c r="K101" s="336"/>
      <c r="L101" s="336"/>
      <c r="M101" s="336"/>
      <c r="N101" s="336"/>
      <c r="O101" s="336"/>
      <c r="P101" s="336"/>
      <c r="Q101" s="336"/>
      <c r="R101" s="336"/>
      <c r="S101" s="336"/>
      <c r="T101" s="336"/>
      <c r="U101" s="351"/>
      <c r="V101" s="352" t="s">
        <v>379</v>
      </c>
      <c r="W101" s="323">
        <v>1</v>
      </c>
      <c r="X101" s="324">
        <v>2.08</v>
      </c>
      <c r="Z101" s="48">
        <f t="shared" si="8"/>
        <v>2.08</v>
      </c>
      <c r="AA101" s="48" t="str">
        <f t="shared" si="9"/>
        <v>-</v>
      </c>
      <c r="AB101" s="48" t="str">
        <f t="shared" si="10"/>
        <v>-</v>
      </c>
      <c r="AC101" s="48" t="str">
        <f t="shared" si="11"/>
        <v>-</v>
      </c>
      <c r="AD101" s="48" t="str">
        <f t="shared" si="12"/>
        <v>-</v>
      </c>
      <c r="AE101" s="48" t="str">
        <f t="shared" si="13"/>
        <v>-</v>
      </c>
      <c r="AF101" s="48" t="str">
        <f t="shared" si="14"/>
        <v>-</v>
      </c>
      <c r="AG101" s="48" t="str">
        <f t="shared" si="15"/>
        <v>-</v>
      </c>
    </row>
    <row r="102" spans="1:33" ht="15" thickBot="1" x14ac:dyDescent="0.35">
      <c r="A102" s="574"/>
      <c r="B102" s="346" t="s">
        <v>544</v>
      </c>
      <c r="C102" s="347">
        <v>255</v>
      </c>
      <c r="D102" s="335"/>
      <c r="E102" s="348">
        <v>0.8</v>
      </c>
      <c r="F102" s="349">
        <v>0.6</v>
      </c>
      <c r="G102" s="349">
        <v>0.3</v>
      </c>
      <c r="H102" s="348">
        <v>0.8</v>
      </c>
      <c r="I102" s="347" t="s">
        <v>578</v>
      </c>
      <c r="J102" s="350"/>
      <c r="K102" s="336"/>
      <c r="L102" s="336"/>
      <c r="M102" s="336"/>
      <c r="N102" s="336"/>
      <c r="O102" s="336"/>
      <c r="P102" s="336"/>
      <c r="Q102" s="336"/>
      <c r="R102" s="336"/>
      <c r="S102" s="336"/>
      <c r="T102" s="336"/>
      <c r="U102" s="351"/>
      <c r="V102" s="352" t="s">
        <v>379</v>
      </c>
      <c r="W102" s="323">
        <v>1</v>
      </c>
      <c r="X102" s="324">
        <v>2.0699999999999998</v>
      </c>
      <c r="Z102" s="48">
        <f t="shared" si="8"/>
        <v>2.0699999999999998</v>
      </c>
      <c r="AA102" s="48" t="str">
        <f t="shared" si="9"/>
        <v>-</v>
      </c>
      <c r="AB102" s="48" t="str">
        <f t="shared" si="10"/>
        <v>-</v>
      </c>
      <c r="AC102" s="48" t="str">
        <f t="shared" si="11"/>
        <v>-</v>
      </c>
      <c r="AD102" s="48" t="str">
        <f t="shared" si="12"/>
        <v>-</v>
      </c>
      <c r="AE102" s="48" t="str">
        <f t="shared" si="13"/>
        <v>-</v>
      </c>
      <c r="AF102" s="48" t="str">
        <f t="shared" si="14"/>
        <v>-</v>
      </c>
      <c r="AG102" s="48" t="str">
        <f t="shared" si="15"/>
        <v>-</v>
      </c>
    </row>
    <row r="103" spans="1:33" ht="15" thickBot="1" x14ac:dyDescent="0.35">
      <c r="A103" s="574"/>
      <c r="B103" s="346" t="s">
        <v>544</v>
      </c>
      <c r="C103" s="347">
        <v>245</v>
      </c>
      <c r="D103" s="335"/>
      <c r="E103" s="348">
        <v>0.8</v>
      </c>
      <c r="F103" s="349">
        <v>0.6</v>
      </c>
      <c r="G103" s="349">
        <v>0.3</v>
      </c>
      <c r="H103" s="348">
        <v>0.8</v>
      </c>
      <c r="I103" s="347" t="s">
        <v>578</v>
      </c>
      <c r="J103" s="350"/>
      <c r="K103" s="336"/>
      <c r="L103" s="336"/>
      <c r="M103" s="336"/>
      <c r="N103" s="336"/>
      <c r="O103" s="336"/>
      <c r="P103" s="336"/>
      <c r="Q103" s="336"/>
      <c r="R103" s="336"/>
      <c r="S103" s="336"/>
      <c r="T103" s="336"/>
      <c r="U103" s="351"/>
      <c r="V103" s="352" t="s">
        <v>379</v>
      </c>
      <c r="W103" s="323">
        <v>1</v>
      </c>
      <c r="X103" s="324">
        <v>2.08</v>
      </c>
      <c r="Z103" s="48">
        <f t="shared" si="8"/>
        <v>2.08</v>
      </c>
      <c r="AA103" s="48" t="str">
        <f t="shared" si="9"/>
        <v>-</v>
      </c>
      <c r="AB103" s="48" t="str">
        <f t="shared" si="10"/>
        <v>-</v>
      </c>
      <c r="AC103" s="48" t="str">
        <f t="shared" si="11"/>
        <v>-</v>
      </c>
      <c r="AD103" s="48" t="str">
        <f t="shared" si="12"/>
        <v>-</v>
      </c>
      <c r="AE103" s="48" t="str">
        <f t="shared" si="13"/>
        <v>-</v>
      </c>
      <c r="AF103" s="48" t="str">
        <f t="shared" si="14"/>
        <v>-</v>
      </c>
      <c r="AG103" s="48" t="str">
        <f t="shared" si="15"/>
        <v>-</v>
      </c>
    </row>
    <row r="104" spans="1:33" ht="15" thickBot="1" x14ac:dyDescent="0.35">
      <c r="A104" s="574"/>
      <c r="B104" s="346" t="s">
        <v>543</v>
      </c>
      <c r="C104" s="347">
        <v>16</v>
      </c>
      <c r="D104" s="335"/>
      <c r="E104" s="348">
        <v>0.8</v>
      </c>
      <c r="F104" s="349">
        <v>0.6</v>
      </c>
      <c r="G104" s="349">
        <v>0.3</v>
      </c>
      <c r="H104" s="348">
        <v>0.8</v>
      </c>
      <c r="I104" s="347" t="s">
        <v>578</v>
      </c>
      <c r="J104" s="350"/>
      <c r="K104" s="336"/>
      <c r="L104" s="336"/>
      <c r="M104" s="336"/>
      <c r="N104" s="336"/>
      <c r="O104" s="336"/>
      <c r="P104" s="336"/>
      <c r="Q104" s="336"/>
      <c r="R104" s="336"/>
      <c r="S104" s="336"/>
      <c r="T104" s="336"/>
      <c r="U104" s="351"/>
      <c r="V104" s="352" t="s">
        <v>379</v>
      </c>
      <c r="W104" s="323">
        <v>1</v>
      </c>
      <c r="X104" s="324">
        <v>2.48</v>
      </c>
      <c r="Z104" s="48">
        <f t="shared" si="8"/>
        <v>2.48</v>
      </c>
      <c r="AA104" s="48" t="str">
        <f t="shared" si="9"/>
        <v>-</v>
      </c>
      <c r="AB104" s="48" t="str">
        <f t="shared" si="10"/>
        <v>-</v>
      </c>
      <c r="AC104" s="48" t="str">
        <f t="shared" si="11"/>
        <v>-</v>
      </c>
      <c r="AD104" s="48" t="str">
        <f t="shared" si="12"/>
        <v>-</v>
      </c>
      <c r="AE104" s="48" t="str">
        <f t="shared" si="13"/>
        <v>-</v>
      </c>
      <c r="AF104" s="48" t="str">
        <f t="shared" si="14"/>
        <v>-</v>
      </c>
      <c r="AG104" s="48" t="str">
        <f t="shared" si="15"/>
        <v>-</v>
      </c>
    </row>
    <row r="105" spans="1:33" ht="15" thickBot="1" x14ac:dyDescent="0.35">
      <c r="A105" s="574"/>
      <c r="B105" s="346" t="s">
        <v>543</v>
      </c>
      <c r="C105" s="347">
        <v>17</v>
      </c>
      <c r="D105" s="335"/>
      <c r="E105" s="348">
        <v>0.8</v>
      </c>
      <c r="F105" s="349">
        <v>0.6</v>
      </c>
      <c r="G105" s="349">
        <v>0.3</v>
      </c>
      <c r="H105" s="348">
        <v>0.8</v>
      </c>
      <c r="I105" s="347" t="s">
        <v>578</v>
      </c>
      <c r="J105" s="350"/>
      <c r="K105" s="336"/>
      <c r="L105" s="336"/>
      <c r="M105" s="336"/>
      <c r="N105" s="336"/>
      <c r="O105" s="336"/>
      <c r="P105" s="336"/>
      <c r="Q105" s="336"/>
      <c r="R105" s="336"/>
      <c r="S105" s="336"/>
      <c r="T105" s="336"/>
      <c r="U105" s="351"/>
      <c r="V105" s="352" t="s">
        <v>379</v>
      </c>
      <c r="W105" s="323">
        <v>1</v>
      </c>
      <c r="X105" s="324">
        <v>2.4900000000000002</v>
      </c>
      <c r="Z105" s="48">
        <f t="shared" si="8"/>
        <v>2.4900000000000002</v>
      </c>
      <c r="AA105" s="48" t="str">
        <f t="shared" si="9"/>
        <v>-</v>
      </c>
      <c r="AB105" s="48" t="str">
        <f t="shared" si="10"/>
        <v>-</v>
      </c>
      <c r="AC105" s="48" t="str">
        <f t="shared" si="11"/>
        <v>-</v>
      </c>
      <c r="AD105" s="48" t="str">
        <f t="shared" si="12"/>
        <v>-</v>
      </c>
      <c r="AE105" s="48" t="str">
        <f t="shared" si="13"/>
        <v>-</v>
      </c>
      <c r="AF105" s="48" t="str">
        <f t="shared" si="14"/>
        <v>-</v>
      </c>
      <c r="AG105" s="48" t="str">
        <f t="shared" si="15"/>
        <v>-</v>
      </c>
    </row>
    <row r="106" spans="1:33" ht="15" thickBot="1" x14ac:dyDescent="0.35">
      <c r="A106" s="574"/>
      <c r="B106" s="346" t="s">
        <v>543</v>
      </c>
      <c r="C106" s="347">
        <v>221</v>
      </c>
      <c r="D106" s="335"/>
      <c r="E106" s="348">
        <v>0.8</v>
      </c>
      <c r="F106" s="349">
        <v>0.6</v>
      </c>
      <c r="G106" s="349">
        <v>0.3</v>
      </c>
      <c r="H106" s="348">
        <v>0.8</v>
      </c>
      <c r="I106" s="347" t="s">
        <v>578</v>
      </c>
      <c r="J106" s="350"/>
      <c r="K106" s="336"/>
      <c r="L106" s="336"/>
      <c r="M106" s="336"/>
      <c r="N106" s="336"/>
      <c r="O106" s="336"/>
      <c r="P106" s="336"/>
      <c r="Q106" s="336"/>
      <c r="R106" s="336"/>
      <c r="S106" s="336"/>
      <c r="T106" s="336"/>
      <c r="U106" s="351"/>
      <c r="V106" s="352" t="s">
        <v>379</v>
      </c>
      <c r="W106" s="323">
        <v>1</v>
      </c>
      <c r="X106" s="324">
        <v>2.4900000000000002</v>
      </c>
      <c r="Z106" s="48">
        <f t="shared" si="8"/>
        <v>2.4900000000000002</v>
      </c>
      <c r="AA106" s="48" t="str">
        <f t="shared" si="9"/>
        <v>-</v>
      </c>
      <c r="AB106" s="48" t="str">
        <f t="shared" si="10"/>
        <v>-</v>
      </c>
      <c r="AC106" s="48" t="str">
        <f t="shared" si="11"/>
        <v>-</v>
      </c>
      <c r="AD106" s="48" t="str">
        <f t="shared" si="12"/>
        <v>-</v>
      </c>
      <c r="AE106" s="48" t="str">
        <f t="shared" si="13"/>
        <v>-</v>
      </c>
      <c r="AF106" s="48" t="str">
        <f t="shared" si="14"/>
        <v>-</v>
      </c>
      <c r="AG106" s="48" t="str">
        <f t="shared" si="15"/>
        <v>-</v>
      </c>
    </row>
    <row r="107" spans="1:33" ht="15" thickBot="1" x14ac:dyDescent="0.35">
      <c r="A107" s="574"/>
      <c r="B107" s="346" t="s">
        <v>545</v>
      </c>
      <c r="C107" s="347">
        <v>226</v>
      </c>
      <c r="D107" s="335"/>
      <c r="E107" s="348">
        <v>0.8</v>
      </c>
      <c r="F107" s="349">
        <v>0.6</v>
      </c>
      <c r="G107" s="349">
        <v>0.3</v>
      </c>
      <c r="H107" s="348">
        <v>0.8</v>
      </c>
      <c r="I107" s="347" t="s">
        <v>578</v>
      </c>
      <c r="J107" s="350"/>
      <c r="K107" s="336"/>
      <c r="L107" s="336"/>
      <c r="M107" s="336"/>
      <c r="N107" s="336"/>
      <c r="O107" s="336"/>
      <c r="P107" s="336"/>
      <c r="Q107" s="336"/>
      <c r="R107" s="336"/>
      <c r="S107" s="336"/>
      <c r="T107" s="336"/>
      <c r="U107" s="351"/>
      <c r="V107" s="352" t="s">
        <v>379</v>
      </c>
      <c r="W107" s="323"/>
      <c r="X107" s="324">
        <v>9.7799999999999994</v>
      </c>
      <c r="Z107" s="48">
        <f t="shared" si="8"/>
        <v>9.7799999999999994</v>
      </c>
      <c r="AA107" s="48" t="str">
        <f t="shared" si="9"/>
        <v>-</v>
      </c>
      <c r="AB107" s="48" t="str">
        <f t="shared" si="10"/>
        <v>-</v>
      </c>
      <c r="AC107" s="48" t="str">
        <f t="shared" si="11"/>
        <v>-</v>
      </c>
      <c r="AD107" s="48" t="str">
        <f t="shared" si="12"/>
        <v>-</v>
      </c>
      <c r="AE107" s="48" t="str">
        <f t="shared" si="13"/>
        <v>-</v>
      </c>
      <c r="AF107" s="48" t="str">
        <f t="shared" si="14"/>
        <v>-</v>
      </c>
      <c r="AG107" s="48" t="str">
        <f t="shared" si="15"/>
        <v>-</v>
      </c>
    </row>
    <row r="108" spans="1:33" ht="15" thickBot="1" x14ac:dyDescent="0.35">
      <c r="A108" s="574"/>
      <c r="B108" s="346" t="s">
        <v>545</v>
      </c>
      <c r="C108" s="347">
        <v>220</v>
      </c>
      <c r="D108" s="335"/>
      <c r="E108" s="348">
        <v>0.8</v>
      </c>
      <c r="F108" s="349">
        <v>0.6</v>
      </c>
      <c r="G108" s="349">
        <v>0.3</v>
      </c>
      <c r="H108" s="348">
        <v>0.8</v>
      </c>
      <c r="I108" s="347" t="s">
        <v>578</v>
      </c>
      <c r="J108" s="350"/>
      <c r="K108" s="336"/>
      <c r="L108" s="336"/>
      <c r="M108" s="336"/>
      <c r="N108" s="336"/>
      <c r="O108" s="336"/>
      <c r="P108" s="336"/>
      <c r="Q108" s="336"/>
      <c r="R108" s="336"/>
      <c r="S108" s="336"/>
      <c r="T108" s="336"/>
      <c r="U108" s="351"/>
      <c r="V108" s="352" t="s">
        <v>379</v>
      </c>
      <c r="W108" s="323"/>
      <c r="X108" s="324">
        <v>9.9</v>
      </c>
      <c r="Z108" s="48">
        <f t="shared" si="8"/>
        <v>9.9</v>
      </c>
      <c r="AA108" s="48" t="str">
        <f t="shared" si="9"/>
        <v>-</v>
      </c>
      <c r="AB108" s="48" t="str">
        <f t="shared" si="10"/>
        <v>-</v>
      </c>
      <c r="AC108" s="48" t="str">
        <f t="shared" si="11"/>
        <v>-</v>
      </c>
      <c r="AD108" s="48" t="str">
        <f t="shared" si="12"/>
        <v>-</v>
      </c>
      <c r="AE108" s="48" t="str">
        <f t="shared" si="13"/>
        <v>-</v>
      </c>
      <c r="AF108" s="48" t="str">
        <f t="shared" si="14"/>
        <v>-</v>
      </c>
      <c r="AG108" s="48" t="str">
        <f t="shared" si="15"/>
        <v>-</v>
      </c>
    </row>
    <row r="109" spans="1:33" ht="15" thickBot="1" x14ac:dyDescent="0.35">
      <c r="A109" s="574"/>
      <c r="B109" s="346" t="s">
        <v>545</v>
      </c>
      <c r="C109" s="347">
        <v>224</v>
      </c>
      <c r="D109" s="335"/>
      <c r="E109" s="348">
        <v>0.8</v>
      </c>
      <c r="F109" s="349">
        <v>0.6</v>
      </c>
      <c r="G109" s="349">
        <v>0.3</v>
      </c>
      <c r="H109" s="348">
        <v>0.8</v>
      </c>
      <c r="I109" s="347" t="s">
        <v>578</v>
      </c>
      <c r="J109" s="350"/>
      <c r="K109" s="336"/>
      <c r="L109" s="336"/>
      <c r="M109" s="336"/>
      <c r="N109" s="336"/>
      <c r="O109" s="336"/>
      <c r="P109" s="336"/>
      <c r="Q109" s="336"/>
      <c r="R109" s="336"/>
      <c r="S109" s="336"/>
      <c r="T109" s="336"/>
      <c r="U109" s="351"/>
      <c r="V109" s="352" t="s">
        <v>379</v>
      </c>
      <c r="W109" s="323"/>
      <c r="X109" s="324">
        <v>9.94</v>
      </c>
      <c r="Z109" s="48">
        <f t="shared" si="8"/>
        <v>9.94</v>
      </c>
      <c r="AA109" s="48" t="str">
        <f t="shared" si="9"/>
        <v>-</v>
      </c>
      <c r="AB109" s="48" t="str">
        <f t="shared" si="10"/>
        <v>-</v>
      </c>
      <c r="AC109" s="48" t="str">
        <f t="shared" si="11"/>
        <v>-</v>
      </c>
      <c r="AD109" s="48" t="str">
        <f t="shared" si="12"/>
        <v>-</v>
      </c>
      <c r="AE109" s="48" t="str">
        <f t="shared" si="13"/>
        <v>-</v>
      </c>
      <c r="AF109" s="48" t="str">
        <f t="shared" si="14"/>
        <v>-</v>
      </c>
      <c r="AG109" s="48" t="str">
        <f t="shared" si="15"/>
        <v>-</v>
      </c>
    </row>
    <row r="110" spans="1:33" ht="15" thickBot="1" x14ac:dyDescent="0.35">
      <c r="A110" s="574"/>
      <c r="B110" s="346" t="s">
        <v>545</v>
      </c>
      <c r="C110" s="347">
        <v>230</v>
      </c>
      <c r="D110" s="335"/>
      <c r="E110" s="348">
        <v>0.8</v>
      </c>
      <c r="F110" s="349">
        <v>0.6</v>
      </c>
      <c r="G110" s="349">
        <v>0.3</v>
      </c>
      <c r="H110" s="348">
        <v>0.8</v>
      </c>
      <c r="I110" s="347" t="s">
        <v>578</v>
      </c>
      <c r="J110" s="350"/>
      <c r="K110" s="336"/>
      <c r="L110" s="336"/>
      <c r="M110" s="336"/>
      <c r="N110" s="336"/>
      <c r="O110" s="336"/>
      <c r="P110" s="336"/>
      <c r="Q110" s="336"/>
      <c r="R110" s="336"/>
      <c r="S110" s="336"/>
      <c r="T110" s="336"/>
      <c r="U110" s="351"/>
      <c r="V110" s="352" t="s">
        <v>379</v>
      </c>
      <c r="W110" s="323"/>
      <c r="X110" s="324">
        <v>10.02</v>
      </c>
      <c r="Z110" s="48">
        <f t="shared" si="8"/>
        <v>10.02</v>
      </c>
      <c r="AA110" s="48" t="str">
        <f t="shared" si="9"/>
        <v>-</v>
      </c>
      <c r="AB110" s="48" t="str">
        <f t="shared" si="10"/>
        <v>-</v>
      </c>
      <c r="AC110" s="48" t="str">
        <f t="shared" si="11"/>
        <v>-</v>
      </c>
      <c r="AD110" s="48" t="str">
        <f t="shared" si="12"/>
        <v>-</v>
      </c>
      <c r="AE110" s="48" t="str">
        <f t="shared" si="13"/>
        <v>-</v>
      </c>
      <c r="AF110" s="48" t="str">
        <f t="shared" si="14"/>
        <v>-</v>
      </c>
      <c r="AG110" s="48" t="str">
        <f t="shared" si="15"/>
        <v>-</v>
      </c>
    </row>
    <row r="111" spans="1:33" ht="15" thickBot="1" x14ac:dyDescent="0.35">
      <c r="A111" s="574"/>
      <c r="B111" s="346" t="s">
        <v>546</v>
      </c>
      <c r="C111" s="347">
        <v>146</v>
      </c>
      <c r="D111" s="335"/>
      <c r="E111" s="348">
        <v>0.8</v>
      </c>
      <c r="F111" s="349">
        <v>0.6</v>
      </c>
      <c r="G111" s="349">
        <v>0.3</v>
      </c>
      <c r="H111" s="348">
        <v>0.8</v>
      </c>
      <c r="I111" s="347" t="s">
        <v>578</v>
      </c>
      <c r="J111" s="350"/>
      <c r="K111" s="336"/>
      <c r="L111" s="336"/>
      <c r="M111" s="336"/>
      <c r="N111" s="336"/>
      <c r="O111" s="336"/>
      <c r="P111" s="336"/>
      <c r="Q111" s="336"/>
      <c r="R111" s="336"/>
      <c r="S111" s="336"/>
      <c r="T111" s="336"/>
      <c r="U111" s="351"/>
      <c r="V111" s="352" t="s">
        <v>379</v>
      </c>
      <c r="W111" s="323">
        <v>1</v>
      </c>
      <c r="X111" s="324">
        <v>1.44</v>
      </c>
      <c r="Z111" s="48">
        <f t="shared" si="8"/>
        <v>1.44</v>
      </c>
      <c r="AA111" s="48" t="str">
        <f t="shared" si="9"/>
        <v>-</v>
      </c>
      <c r="AB111" s="48" t="str">
        <f t="shared" si="10"/>
        <v>-</v>
      </c>
      <c r="AC111" s="48" t="str">
        <f t="shared" si="11"/>
        <v>-</v>
      </c>
      <c r="AD111" s="48" t="str">
        <f t="shared" si="12"/>
        <v>-</v>
      </c>
      <c r="AE111" s="48" t="str">
        <f t="shared" si="13"/>
        <v>-</v>
      </c>
      <c r="AF111" s="48" t="str">
        <f t="shared" si="14"/>
        <v>-</v>
      </c>
      <c r="AG111" s="48" t="str">
        <f t="shared" si="15"/>
        <v>-</v>
      </c>
    </row>
    <row r="112" spans="1:33" ht="15" thickBot="1" x14ac:dyDescent="0.35">
      <c r="A112" s="574"/>
      <c r="B112" s="346" t="s">
        <v>546</v>
      </c>
      <c r="C112" s="347">
        <v>136</v>
      </c>
      <c r="D112" s="335"/>
      <c r="E112" s="348">
        <v>0.8</v>
      </c>
      <c r="F112" s="349">
        <v>0.6</v>
      </c>
      <c r="G112" s="349">
        <v>0.3</v>
      </c>
      <c r="H112" s="348">
        <v>0.8</v>
      </c>
      <c r="I112" s="347" t="s">
        <v>578</v>
      </c>
      <c r="J112" s="350"/>
      <c r="K112" s="336"/>
      <c r="L112" s="336"/>
      <c r="M112" s="336"/>
      <c r="N112" s="336"/>
      <c r="O112" s="336"/>
      <c r="P112" s="336"/>
      <c r="Q112" s="336"/>
      <c r="R112" s="336"/>
      <c r="S112" s="336"/>
      <c r="T112" s="336"/>
      <c r="U112" s="351"/>
      <c r="V112" s="352" t="s">
        <v>379</v>
      </c>
      <c r="W112" s="323">
        <v>1</v>
      </c>
      <c r="X112" s="324">
        <v>0.68</v>
      </c>
      <c r="Z112" s="48">
        <f t="shared" si="8"/>
        <v>0.68</v>
      </c>
      <c r="AA112" s="48" t="str">
        <f t="shared" si="9"/>
        <v>-</v>
      </c>
      <c r="AB112" s="48" t="str">
        <f t="shared" si="10"/>
        <v>-</v>
      </c>
      <c r="AC112" s="48" t="str">
        <f t="shared" si="11"/>
        <v>-</v>
      </c>
      <c r="AD112" s="48" t="str">
        <f t="shared" si="12"/>
        <v>-</v>
      </c>
      <c r="AE112" s="48" t="str">
        <f t="shared" si="13"/>
        <v>-</v>
      </c>
      <c r="AF112" s="48" t="str">
        <f t="shared" si="14"/>
        <v>-</v>
      </c>
      <c r="AG112" s="48" t="str">
        <f t="shared" si="15"/>
        <v>-</v>
      </c>
    </row>
    <row r="113" spans="1:33" ht="15" thickBot="1" x14ac:dyDescent="0.35">
      <c r="A113" s="574"/>
      <c r="B113" s="346" t="s">
        <v>546</v>
      </c>
      <c r="C113" s="347">
        <v>126</v>
      </c>
      <c r="D113" s="335"/>
      <c r="E113" s="348">
        <v>0.8</v>
      </c>
      <c r="F113" s="349">
        <v>0.6</v>
      </c>
      <c r="G113" s="349">
        <v>0.3</v>
      </c>
      <c r="H113" s="348">
        <v>0.8</v>
      </c>
      <c r="I113" s="347" t="s">
        <v>578</v>
      </c>
      <c r="J113" s="350"/>
      <c r="K113" s="336"/>
      <c r="L113" s="336"/>
      <c r="M113" s="336"/>
      <c r="N113" s="336"/>
      <c r="O113" s="336"/>
      <c r="P113" s="336"/>
      <c r="Q113" s="336"/>
      <c r="R113" s="336"/>
      <c r="S113" s="336"/>
      <c r="T113" s="336"/>
      <c r="U113" s="351"/>
      <c r="V113" s="352" t="s">
        <v>379</v>
      </c>
      <c r="W113" s="323">
        <v>1</v>
      </c>
      <c r="X113" s="324">
        <v>0.85</v>
      </c>
      <c r="Z113" s="48">
        <f t="shared" si="8"/>
        <v>0.85</v>
      </c>
      <c r="AA113" s="48" t="str">
        <f t="shared" si="9"/>
        <v>-</v>
      </c>
      <c r="AB113" s="48" t="str">
        <f t="shared" si="10"/>
        <v>-</v>
      </c>
      <c r="AC113" s="48" t="str">
        <f t="shared" si="11"/>
        <v>-</v>
      </c>
      <c r="AD113" s="48" t="str">
        <f t="shared" si="12"/>
        <v>-</v>
      </c>
      <c r="AE113" s="48" t="str">
        <f t="shared" si="13"/>
        <v>-</v>
      </c>
      <c r="AF113" s="48" t="str">
        <f t="shared" si="14"/>
        <v>-</v>
      </c>
      <c r="AG113" s="48" t="str">
        <f t="shared" si="15"/>
        <v>-</v>
      </c>
    </row>
    <row r="114" spans="1:33" ht="15" thickBot="1" x14ac:dyDescent="0.35">
      <c r="A114" s="574"/>
      <c r="B114" s="346" t="s">
        <v>546</v>
      </c>
      <c r="C114" s="347">
        <v>116</v>
      </c>
      <c r="D114" s="335"/>
      <c r="E114" s="348">
        <v>0.8</v>
      </c>
      <c r="F114" s="349">
        <v>0.6</v>
      </c>
      <c r="G114" s="349">
        <v>0.3</v>
      </c>
      <c r="H114" s="348">
        <v>0.8</v>
      </c>
      <c r="I114" s="347"/>
      <c r="J114" s="350" t="s">
        <v>578</v>
      </c>
      <c r="K114" s="336"/>
      <c r="L114" s="336"/>
      <c r="M114" s="336"/>
      <c r="N114" s="336"/>
      <c r="O114" s="336"/>
      <c r="P114" s="336"/>
      <c r="Q114" s="336"/>
      <c r="R114" s="336"/>
      <c r="S114" s="336"/>
      <c r="T114" s="336"/>
      <c r="U114" s="351"/>
      <c r="V114" s="352" t="s">
        <v>122</v>
      </c>
      <c r="W114" s="323">
        <v>1</v>
      </c>
      <c r="X114" s="324">
        <v>0.99</v>
      </c>
      <c r="Z114" s="48" t="str">
        <f t="shared" si="8"/>
        <v>-</v>
      </c>
      <c r="AA114" s="48">
        <f t="shared" si="9"/>
        <v>0.99</v>
      </c>
      <c r="AB114" s="48" t="str">
        <f t="shared" si="10"/>
        <v>-</v>
      </c>
      <c r="AC114" s="48" t="str">
        <f t="shared" si="11"/>
        <v>-</v>
      </c>
      <c r="AD114" s="48" t="str">
        <f t="shared" si="12"/>
        <v>-</v>
      </c>
      <c r="AE114" s="48" t="str">
        <f t="shared" si="13"/>
        <v>-</v>
      </c>
      <c r="AF114" s="48" t="str">
        <f t="shared" si="14"/>
        <v>-</v>
      </c>
      <c r="AG114" s="48" t="str">
        <f t="shared" si="15"/>
        <v>-</v>
      </c>
    </row>
    <row r="115" spans="1:33" ht="15" thickBot="1" x14ac:dyDescent="0.35">
      <c r="A115" s="574"/>
      <c r="B115" s="346" t="s">
        <v>547</v>
      </c>
      <c r="C115" s="347" t="s">
        <v>377</v>
      </c>
      <c r="D115" s="335"/>
      <c r="E115" s="348">
        <v>0.8</v>
      </c>
      <c r="F115" s="349">
        <v>0.6</v>
      </c>
      <c r="G115" s="349">
        <v>0.3</v>
      </c>
      <c r="H115" s="348">
        <v>0.8</v>
      </c>
      <c r="I115" s="347" t="s">
        <v>578</v>
      </c>
      <c r="J115" s="350"/>
      <c r="K115" s="336"/>
      <c r="L115" s="336"/>
      <c r="M115" s="336"/>
      <c r="N115" s="336"/>
      <c r="O115" s="336"/>
      <c r="P115" s="336"/>
      <c r="Q115" s="336"/>
      <c r="R115" s="336"/>
      <c r="S115" s="336"/>
      <c r="T115" s="336"/>
      <c r="U115" s="351"/>
      <c r="V115" s="352" t="s">
        <v>379</v>
      </c>
      <c r="W115" s="323">
        <v>1</v>
      </c>
      <c r="X115" s="324">
        <v>0.68</v>
      </c>
      <c r="Z115" s="48">
        <f t="shared" si="8"/>
        <v>0.68</v>
      </c>
      <c r="AA115" s="48" t="str">
        <f t="shared" si="9"/>
        <v>-</v>
      </c>
      <c r="AB115" s="48" t="str">
        <f t="shared" si="10"/>
        <v>-</v>
      </c>
      <c r="AC115" s="48" t="str">
        <f t="shared" si="11"/>
        <v>-</v>
      </c>
      <c r="AD115" s="48" t="str">
        <f t="shared" si="12"/>
        <v>-</v>
      </c>
      <c r="AE115" s="48" t="str">
        <f t="shared" si="13"/>
        <v>-</v>
      </c>
      <c r="AF115" s="48" t="str">
        <f t="shared" si="14"/>
        <v>-</v>
      </c>
      <c r="AG115" s="48" t="str">
        <f t="shared" si="15"/>
        <v>-</v>
      </c>
    </row>
    <row r="116" spans="1:33" ht="15" thickBot="1" x14ac:dyDescent="0.35">
      <c r="A116" s="574"/>
      <c r="B116" s="346" t="s">
        <v>547</v>
      </c>
      <c r="C116" s="347">
        <v>125</v>
      </c>
      <c r="D116" s="335"/>
      <c r="E116" s="348">
        <v>0.8</v>
      </c>
      <c r="F116" s="349">
        <v>0.6</v>
      </c>
      <c r="G116" s="349">
        <v>0.3</v>
      </c>
      <c r="H116" s="348">
        <v>0.8</v>
      </c>
      <c r="I116" s="347" t="s">
        <v>578</v>
      </c>
      <c r="J116" s="350"/>
      <c r="K116" s="336"/>
      <c r="L116" s="336"/>
      <c r="M116" s="336"/>
      <c r="N116" s="336"/>
      <c r="O116" s="336"/>
      <c r="P116" s="336"/>
      <c r="Q116" s="336"/>
      <c r="R116" s="336"/>
      <c r="S116" s="336"/>
      <c r="T116" s="336"/>
      <c r="U116" s="351"/>
      <c r="V116" s="352" t="s">
        <v>379</v>
      </c>
      <c r="W116" s="323">
        <v>1</v>
      </c>
      <c r="X116" s="324">
        <v>0.68</v>
      </c>
      <c r="Z116" s="48">
        <f t="shared" si="8"/>
        <v>0.68</v>
      </c>
      <c r="AA116" s="48" t="str">
        <f t="shared" si="9"/>
        <v>-</v>
      </c>
      <c r="AB116" s="48" t="str">
        <f t="shared" si="10"/>
        <v>-</v>
      </c>
      <c r="AC116" s="48" t="str">
        <f t="shared" si="11"/>
        <v>-</v>
      </c>
      <c r="AD116" s="48" t="str">
        <f t="shared" si="12"/>
        <v>-</v>
      </c>
      <c r="AE116" s="48" t="str">
        <f t="shared" si="13"/>
        <v>-</v>
      </c>
      <c r="AF116" s="48" t="str">
        <f t="shared" si="14"/>
        <v>-</v>
      </c>
      <c r="AG116" s="48" t="str">
        <f t="shared" si="15"/>
        <v>-</v>
      </c>
    </row>
    <row r="117" spans="1:33" ht="15" thickBot="1" x14ac:dyDescent="0.35">
      <c r="A117" s="574"/>
      <c r="B117" s="346" t="s">
        <v>547</v>
      </c>
      <c r="C117" s="347">
        <v>162</v>
      </c>
      <c r="D117" s="335"/>
      <c r="E117" s="348">
        <v>0.8</v>
      </c>
      <c r="F117" s="349">
        <v>0.6</v>
      </c>
      <c r="G117" s="349">
        <v>0.3</v>
      </c>
      <c r="H117" s="348">
        <v>0.8</v>
      </c>
      <c r="I117" s="347" t="s">
        <v>578</v>
      </c>
      <c r="J117" s="350"/>
      <c r="K117" s="336"/>
      <c r="L117" s="336"/>
      <c r="M117" s="336"/>
      <c r="N117" s="336"/>
      <c r="O117" s="336"/>
      <c r="P117" s="336"/>
      <c r="Q117" s="336"/>
      <c r="R117" s="336"/>
      <c r="S117" s="336"/>
      <c r="T117" s="336"/>
      <c r="U117" s="351"/>
      <c r="V117" s="352" t="s">
        <v>379</v>
      </c>
      <c r="W117" s="323">
        <v>1</v>
      </c>
      <c r="X117" s="324">
        <v>0.68</v>
      </c>
      <c r="Z117" s="48">
        <f t="shared" si="8"/>
        <v>0.68</v>
      </c>
      <c r="AA117" s="48" t="str">
        <f t="shared" si="9"/>
        <v>-</v>
      </c>
      <c r="AB117" s="48" t="str">
        <f t="shared" si="10"/>
        <v>-</v>
      </c>
      <c r="AC117" s="48" t="str">
        <f t="shared" si="11"/>
        <v>-</v>
      </c>
      <c r="AD117" s="48" t="str">
        <f t="shared" si="12"/>
        <v>-</v>
      </c>
      <c r="AE117" s="48" t="str">
        <f t="shared" si="13"/>
        <v>-</v>
      </c>
      <c r="AF117" s="48" t="str">
        <f t="shared" si="14"/>
        <v>-</v>
      </c>
      <c r="AG117" s="48" t="str">
        <f t="shared" si="15"/>
        <v>-</v>
      </c>
    </row>
    <row r="118" spans="1:33" ht="15" thickBot="1" x14ac:dyDescent="0.35">
      <c r="A118" s="574"/>
      <c r="B118" s="346" t="s">
        <v>547</v>
      </c>
      <c r="C118" s="347">
        <v>2</v>
      </c>
      <c r="D118" s="335"/>
      <c r="E118" s="348">
        <v>0.8</v>
      </c>
      <c r="F118" s="349">
        <v>0.6</v>
      </c>
      <c r="G118" s="349">
        <v>0.3</v>
      </c>
      <c r="H118" s="348">
        <v>0.8</v>
      </c>
      <c r="I118" s="347" t="s">
        <v>578</v>
      </c>
      <c r="J118" s="350"/>
      <c r="K118" s="336"/>
      <c r="L118" s="336"/>
      <c r="M118" s="336"/>
      <c r="N118" s="336"/>
      <c r="O118" s="336"/>
      <c r="P118" s="336"/>
      <c r="Q118" s="336"/>
      <c r="R118" s="336"/>
      <c r="S118" s="336"/>
      <c r="T118" s="336"/>
      <c r="U118" s="351"/>
      <c r="V118" s="352" t="s">
        <v>379</v>
      </c>
      <c r="W118" s="323">
        <v>1</v>
      </c>
      <c r="X118" s="324">
        <v>0.68</v>
      </c>
      <c r="Z118" s="48">
        <f t="shared" si="8"/>
        <v>0.68</v>
      </c>
      <c r="AA118" s="48" t="str">
        <f t="shared" si="9"/>
        <v>-</v>
      </c>
      <c r="AB118" s="48" t="str">
        <f t="shared" si="10"/>
        <v>-</v>
      </c>
      <c r="AC118" s="48" t="str">
        <f t="shared" si="11"/>
        <v>-</v>
      </c>
      <c r="AD118" s="48" t="str">
        <f t="shared" si="12"/>
        <v>-</v>
      </c>
      <c r="AE118" s="48" t="str">
        <f t="shared" si="13"/>
        <v>-</v>
      </c>
      <c r="AF118" s="48" t="str">
        <f t="shared" si="14"/>
        <v>-</v>
      </c>
      <c r="AG118" s="48" t="str">
        <f t="shared" si="15"/>
        <v>-</v>
      </c>
    </row>
    <row r="119" spans="1:33" ht="15" thickBot="1" x14ac:dyDescent="0.35">
      <c r="A119" s="577"/>
      <c r="B119" s="353" t="s">
        <v>547</v>
      </c>
      <c r="C119" s="354">
        <v>1</v>
      </c>
      <c r="D119" s="355"/>
      <c r="E119" s="356">
        <v>0.8</v>
      </c>
      <c r="F119" s="357">
        <v>0.6</v>
      </c>
      <c r="G119" s="357">
        <v>0.3</v>
      </c>
      <c r="H119" s="356">
        <v>0.8</v>
      </c>
      <c r="I119" s="354" t="s">
        <v>578</v>
      </c>
      <c r="J119" s="358"/>
      <c r="K119" s="359"/>
      <c r="L119" s="359"/>
      <c r="M119" s="359"/>
      <c r="N119" s="359"/>
      <c r="O119" s="359"/>
      <c r="P119" s="359"/>
      <c r="Q119" s="359"/>
      <c r="R119" s="359"/>
      <c r="S119" s="359"/>
      <c r="T119" s="359"/>
      <c r="U119" s="360"/>
      <c r="V119" s="361" t="s">
        <v>379</v>
      </c>
      <c r="W119" s="325">
        <v>1</v>
      </c>
      <c r="X119" s="326">
        <v>0.68</v>
      </c>
      <c r="Z119" s="48">
        <f t="shared" si="8"/>
        <v>0.68</v>
      </c>
      <c r="AA119" s="48" t="str">
        <f t="shared" si="9"/>
        <v>-</v>
      </c>
      <c r="AB119" s="48" t="str">
        <f t="shared" si="10"/>
        <v>-</v>
      </c>
      <c r="AC119" s="48" t="str">
        <f t="shared" si="11"/>
        <v>-</v>
      </c>
      <c r="AD119" s="48" t="str">
        <f t="shared" si="12"/>
        <v>-</v>
      </c>
      <c r="AE119" s="48" t="str">
        <f t="shared" si="13"/>
        <v>-</v>
      </c>
      <c r="AF119" s="48" t="str">
        <f t="shared" si="14"/>
        <v>-</v>
      </c>
      <c r="AG119" s="48" t="str">
        <f t="shared" si="15"/>
        <v>-</v>
      </c>
    </row>
    <row r="120" spans="1:33" ht="15" thickBot="1" x14ac:dyDescent="0.35">
      <c r="A120" s="573" t="s">
        <v>147</v>
      </c>
      <c r="B120" s="362" t="s">
        <v>540</v>
      </c>
      <c r="C120" s="363">
        <v>255</v>
      </c>
      <c r="D120" s="335"/>
      <c r="E120" s="364">
        <v>0.8</v>
      </c>
      <c r="F120" s="365">
        <v>0.6</v>
      </c>
      <c r="G120" s="365">
        <v>0.3</v>
      </c>
      <c r="H120" s="364">
        <v>0.8</v>
      </c>
      <c r="I120" s="363" t="s">
        <v>578</v>
      </c>
      <c r="J120" s="366"/>
      <c r="K120" s="336"/>
      <c r="L120" s="336"/>
      <c r="M120" s="336"/>
      <c r="N120" s="336"/>
      <c r="O120" s="336"/>
      <c r="P120" s="336"/>
      <c r="Q120" s="336"/>
      <c r="R120" s="336"/>
      <c r="S120" s="336"/>
      <c r="T120" s="336"/>
      <c r="U120" s="351"/>
      <c r="V120" s="352" t="s">
        <v>379</v>
      </c>
      <c r="W120" s="327"/>
      <c r="X120" s="328">
        <v>5.08</v>
      </c>
      <c r="Z120" s="48">
        <f t="shared" si="8"/>
        <v>5.08</v>
      </c>
      <c r="AA120" s="48" t="str">
        <f t="shared" si="9"/>
        <v>-</v>
      </c>
      <c r="AB120" s="48" t="str">
        <f t="shared" si="10"/>
        <v>-</v>
      </c>
      <c r="AC120" s="48" t="str">
        <f t="shared" si="11"/>
        <v>-</v>
      </c>
      <c r="AD120" s="48" t="str">
        <f t="shared" si="12"/>
        <v>-</v>
      </c>
      <c r="AE120" s="48" t="str">
        <f t="shared" si="13"/>
        <v>-</v>
      </c>
      <c r="AF120" s="48" t="str">
        <f t="shared" si="14"/>
        <v>-</v>
      </c>
      <c r="AG120" s="48" t="str">
        <f t="shared" si="15"/>
        <v>-</v>
      </c>
    </row>
    <row r="121" spans="1:33" ht="15" thickBot="1" x14ac:dyDescent="0.35">
      <c r="A121" s="574"/>
      <c r="B121" s="346" t="s">
        <v>540</v>
      </c>
      <c r="C121" s="347">
        <v>267</v>
      </c>
      <c r="D121" s="335"/>
      <c r="E121" s="348">
        <v>0.8</v>
      </c>
      <c r="F121" s="349">
        <v>0.6</v>
      </c>
      <c r="G121" s="349">
        <v>0.3</v>
      </c>
      <c r="H121" s="348">
        <v>0.8</v>
      </c>
      <c r="I121" s="347" t="s">
        <v>578</v>
      </c>
      <c r="J121" s="350"/>
      <c r="K121" s="336"/>
      <c r="L121" s="336"/>
      <c r="M121" s="336"/>
      <c r="N121" s="336"/>
      <c r="O121" s="336"/>
      <c r="P121" s="336"/>
      <c r="Q121" s="336"/>
      <c r="R121" s="336"/>
      <c r="S121" s="336"/>
      <c r="T121" s="336"/>
      <c r="U121" s="351"/>
      <c r="V121" s="352" t="s">
        <v>379</v>
      </c>
      <c r="W121" s="323"/>
      <c r="X121" s="324">
        <v>5.09</v>
      </c>
      <c r="Z121" s="48">
        <f t="shared" si="8"/>
        <v>5.09</v>
      </c>
      <c r="AA121" s="48" t="str">
        <f t="shared" si="9"/>
        <v>-</v>
      </c>
      <c r="AB121" s="48" t="str">
        <f t="shared" si="10"/>
        <v>-</v>
      </c>
      <c r="AC121" s="48" t="str">
        <f t="shared" si="11"/>
        <v>-</v>
      </c>
      <c r="AD121" s="48" t="str">
        <f t="shared" si="12"/>
        <v>-</v>
      </c>
      <c r="AE121" s="48" t="str">
        <f t="shared" si="13"/>
        <v>-</v>
      </c>
      <c r="AF121" s="48" t="str">
        <f t="shared" si="14"/>
        <v>-</v>
      </c>
      <c r="AG121" s="48" t="str">
        <f t="shared" si="15"/>
        <v>-</v>
      </c>
    </row>
    <row r="122" spans="1:33" ht="15" thickBot="1" x14ac:dyDescent="0.35">
      <c r="A122" s="574"/>
      <c r="B122" s="346" t="s">
        <v>540</v>
      </c>
      <c r="C122" s="347">
        <v>275</v>
      </c>
      <c r="D122" s="335"/>
      <c r="E122" s="348">
        <v>0.8</v>
      </c>
      <c r="F122" s="349">
        <v>0.6</v>
      </c>
      <c r="G122" s="349">
        <v>0.3</v>
      </c>
      <c r="H122" s="348">
        <v>0.8</v>
      </c>
      <c r="I122" s="347" t="s">
        <v>578</v>
      </c>
      <c r="J122" s="350"/>
      <c r="K122" s="336"/>
      <c r="L122" s="336"/>
      <c r="M122" s="336"/>
      <c r="N122" s="336"/>
      <c r="O122" s="336"/>
      <c r="P122" s="336"/>
      <c r="Q122" s="336"/>
      <c r="R122" s="336"/>
      <c r="S122" s="336"/>
      <c r="T122" s="336"/>
      <c r="U122" s="351"/>
      <c r="V122" s="352" t="s">
        <v>379</v>
      </c>
      <c r="W122" s="323"/>
      <c r="X122" s="324">
        <v>5.07</v>
      </c>
      <c r="Z122" s="48">
        <f t="shared" si="8"/>
        <v>5.07</v>
      </c>
      <c r="AA122" s="48" t="str">
        <f t="shared" si="9"/>
        <v>-</v>
      </c>
      <c r="AB122" s="48" t="str">
        <f t="shared" si="10"/>
        <v>-</v>
      </c>
      <c r="AC122" s="48" t="str">
        <f t="shared" si="11"/>
        <v>-</v>
      </c>
      <c r="AD122" s="48" t="str">
        <f t="shared" si="12"/>
        <v>-</v>
      </c>
      <c r="AE122" s="48" t="str">
        <f t="shared" si="13"/>
        <v>-</v>
      </c>
      <c r="AF122" s="48" t="str">
        <f t="shared" si="14"/>
        <v>-</v>
      </c>
      <c r="AG122" s="48" t="str">
        <f t="shared" si="15"/>
        <v>-</v>
      </c>
    </row>
    <row r="123" spans="1:33" ht="15" thickBot="1" x14ac:dyDescent="0.35">
      <c r="A123" s="574"/>
      <c r="B123" s="346" t="s">
        <v>540</v>
      </c>
      <c r="C123" s="347">
        <v>287</v>
      </c>
      <c r="D123" s="335"/>
      <c r="E123" s="348">
        <v>0.8</v>
      </c>
      <c r="F123" s="349">
        <v>0.6</v>
      </c>
      <c r="G123" s="349">
        <v>0.3</v>
      </c>
      <c r="H123" s="348">
        <v>0.8</v>
      </c>
      <c r="I123" s="347" t="s">
        <v>578</v>
      </c>
      <c r="J123" s="350"/>
      <c r="K123" s="336"/>
      <c r="L123" s="336"/>
      <c r="M123" s="336"/>
      <c r="N123" s="336"/>
      <c r="O123" s="336"/>
      <c r="P123" s="336"/>
      <c r="Q123" s="336"/>
      <c r="R123" s="336"/>
      <c r="S123" s="336"/>
      <c r="T123" s="336"/>
      <c r="U123" s="351"/>
      <c r="V123" s="352" t="s">
        <v>379</v>
      </c>
      <c r="W123" s="323"/>
      <c r="X123" s="324">
        <v>5.07</v>
      </c>
      <c r="Z123" s="48">
        <f t="shared" si="8"/>
        <v>5.07</v>
      </c>
      <c r="AA123" s="48" t="str">
        <f t="shared" si="9"/>
        <v>-</v>
      </c>
      <c r="AB123" s="48" t="str">
        <f t="shared" si="10"/>
        <v>-</v>
      </c>
      <c r="AC123" s="48" t="str">
        <f t="shared" si="11"/>
        <v>-</v>
      </c>
      <c r="AD123" s="48" t="str">
        <f t="shared" si="12"/>
        <v>-</v>
      </c>
      <c r="AE123" s="48" t="str">
        <f t="shared" si="13"/>
        <v>-</v>
      </c>
      <c r="AF123" s="48" t="str">
        <f t="shared" si="14"/>
        <v>-</v>
      </c>
      <c r="AG123" s="48" t="str">
        <f t="shared" si="15"/>
        <v>-</v>
      </c>
    </row>
    <row r="124" spans="1:33" ht="15" thickBot="1" x14ac:dyDescent="0.35">
      <c r="A124" s="574"/>
      <c r="B124" s="346" t="s">
        <v>540</v>
      </c>
      <c r="C124" s="347">
        <v>299</v>
      </c>
      <c r="D124" s="335"/>
      <c r="E124" s="348">
        <v>0.8</v>
      </c>
      <c r="F124" s="349">
        <v>0.6</v>
      </c>
      <c r="G124" s="349">
        <v>0.3</v>
      </c>
      <c r="H124" s="348">
        <v>0.8</v>
      </c>
      <c r="I124" s="347" t="s">
        <v>578</v>
      </c>
      <c r="J124" s="350"/>
      <c r="K124" s="336"/>
      <c r="L124" s="336"/>
      <c r="M124" s="336"/>
      <c r="N124" s="336"/>
      <c r="O124" s="336"/>
      <c r="P124" s="336"/>
      <c r="Q124" s="336"/>
      <c r="R124" s="336"/>
      <c r="S124" s="336"/>
      <c r="T124" s="336"/>
      <c r="U124" s="351"/>
      <c r="V124" s="352" t="s">
        <v>379</v>
      </c>
      <c r="W124" s="323"/>
      <c r="X124" s="324">
        <v>5.07</v>
      </c>
      <c r="Z124" s="48">
        <f t="shared" si="8"/>
        <v>5.07</v>
      </c>
      <c r="AA124" s="48" t="str">
        <f t="shared" si="9"/>
        <v>-</v>
      </c>
      <c r="AB124" s="48" t="str">
        <f t="shared" si="10"/>
        <v>-</v>
      </c>
      <c r="AC124" s="48" t="str">
        <f t="shared" si="11"/>
        <v>-</v>
      </c>
      <c r="AD124" s="48" t="str">
        <f t="shared" si="12"/>
        <v>-</v>
      </c>
      <c r="AE124" s="48" t="str">
        <f t="shared" si="13"/>
        <v>-</v>
      </c>
      <c r="AF124" s="48" t="str">
        <f t="shared" si="14"/>
        <v>-</v>
      </c>
      <c r="AG124" s="48" t="str">
        <f t="shared" si="15"/>
        <v>-</v>
      </c>
    </row>
    <row r="125" spans="1:33" ht="15" thickBot="1" x14ac:dyDescent="0.35">
      <c r="A125" s="574"/>
      <c r="B125" s="346" t="s">
        <v>548</v>
      </c>
      <c r="C125" s="347">
        <v>7</v>
      </c>
      <c r="D125" s="335"/>
      <c r="E125" s="348">
        <v>0.8</v>
      </c>
      <c r="F125" s="349">
        <v>0.6</v>
      </c>
      <c r="G125" s="349">
        <v>0.3</v>
      </c>
      <c r="H125" s="348">
        <v>0.8</v>
      </c>
      <c r="I125" s="347" t="s">
        <v>578</v>
      </c>
      <c r="J125" s="350"/>
      <c r="K125" s="336"/>
      <c r="L125" s="336"/>
      <c r="M125" s="336"/>
      <c r="N125" s="336"/>
      <c r="O125" s="336"/>
      <c r="P125" s="336"/>
      <c r="Q125" s="336"/>
      <c r="R125" s="336"/>
      <c r="S125" s="336"/>
      <c r="T125" s="336"/>
      <c r="U125" s="351"/>
      <c r="V125" s="352" t="s">
        <v>379</v>
      </c>
      <c r="W125" s="323">
        <v>1</v>
      </c>
      <c r="X125" s="324">
        <v>2.13</v>
      </c>
      <c r="Z125" s="48">
        <f t="shared" si="8"/>
        <v>2.13</v>
      </c>
      <c r="AA125" s="48" t="str">
        <f t="shared" si="9"/>
        <v>-</v>
      </c>
      <c r="AB125" s="48" t="str">
        <f t="shared" si="10"/>
        <v>-</v>
      </c>
      <c r="AC125" s="48" t="str">
        <f t="shared" si="11"/>
        <v>-</v>
      </c>
      <c r="AD125" s="48" t="str">
        <f t="shared" si="12"/>
        <v>-</v>
      </c>
      <c r="AE125" s="48" t="str">
        <f t="shared" si="13"/>
        <v>-</v>
      </c>
      <c r="AF125" s="48" t="str">
        <f t="shared" si="14"/>
        <v>-</v>
      </c>
      <c r="AG125" s="48" t="str">
        <f t="shared" si="15"/>
        <v>-</v>
      </c>
    </row>
    <row r="126" spans="1:33" ht="15" thickBot="1" x14ac:dyDescent="0.35">
      <c r="A126" s="574"/>
      <c r="B126" s="346" t="s">
        <v>548</v>
      </c>
      <c r="C126" s="347" t="s">
        <v>377</v>
      </c>
      <c r="D126" s="335"/>
      <c r="E126" s="348">
        <v>0.8</v>
      </c>
      <c r="F126" s="349">
        <v>0.6</v>
      </c>
      <c r="G126" s="349">
        <v>0.3</v>
      </c>
      <c r="H126" s="348">
        <v>0.8</v>
      </c>
      <c r="I126" s="347" t="s">
        <v>578</v>
      </c>
      <c r="J126" s="350"/>
      <c r="K126" s="336"/>
      <c r="L126" s="336"/>
      <c r="M126" s="336"/>
      <c r="N126" s="336"/>
      <c r="O126" s="336"/>
      <c r="P126" s="336"/>
      <c r="Q126" s="336"/>
      <c r="R126" s="336"/>
      <c r="S126" s="336"/>
      <c r="T126" s="336"/>
      <c r="U126" s="351"/>
      <c r="V126" s="352" t="s">
        <v>379</v>
      </c>
      <c r="W126" s="323">
        <v>1</v>
      </c>
      <c r="X126" s="324">
        <v>2.04</v>
      </c>
      <c r="Z126" s="48">
        <f t="shared" si="8"/>
        <v>2.04</v>
      </c>
      <c r="AA126" s="48" t="str">
        <f t="shared" si="9"/>
        <v>-</v>
      </c>
      <c r="AB126" s="48" t="str">
        <f t="shared" si="10"/>
        <v>-</v>
      </c>
      <c r="AC126" s="48" t="str">
        <f t="shared" si="11"/>
        <v>-</v>
      </c>
      <c r="AD126" s="48" t="str">
        <f t="shared" si="12"/>
        <v>-</v>
      </c>
      <c r="AE126" s="48" t="str">
        <f t="shared" si="13"/>
        <v>-</v>
      </c>
      <c r="AF126" s="48" t="str">
        <f t="shared" si="14"/>
        <v>-</v>
      </c>
      <c r="AG126" s="48" t="str">
        <f t="shared" si="15"/>
        <v>-</v>
      </c>
    </row>
    <row r="127" spans="1:33" ht="15" thickBot="1" x14ac:dyDescent="0.35">
      <c r="A127" s="574"/>
      <c r="B127" s="346" t="s">
        <v>548</v>
      </c>
      <c r="C127" s="347">
        <v>6</v>
      </c>
      <c r="D127" s="335"/>
      <c r="E127" s="348">
        <v>0.8</v>
      </c>
      <c r="F127" s="349">
        <v>0.6</v>
      </c>
      <c r="G127" s="349">
        <v>0.3</v>
      </c>
      <c r="H127" s="348">
        <v>0.8</v>
      </c>
      <c r="I127" s="347" t="s">
        <v>578</v>
      </c>
      <c r="J127" s="350"/>
      <c r="K127" s="336"/>
      <c r="L127" s="336"/>
      <c r="M127" s="336"/>
      <c r="N127" s="336"/>
      <c r="O127" s="336"/>
      <c r="P127" s="336"/>
      <c r="Q127" s="336"/>
      <c r="R127" s="336"/>
      <c r="S127" s="336"/>
      <c r="T127" s="336"/>
      <c r="U127" s="351"/>
      <c r="V127" s="352" t="s">
        <v>379</v>
      </c>
      <c r="W127" s="323">
        <v>1</v>
      </c>
      <c r="X127" s="324">
        <v>1.95</v>
      </c>
      <c r="Z127" s="48">
        <f t="shared" si="8"/>
        <v>1.95</v>
      </c>
      <c r="AA127" s="48" t="str">
        <f t="shared" si="9"/>
        <v>-</v>
      </c>
      <c r="AB127" s="48" t="str">
        <f t="shared" si="10"/>
        <v>-</v>
      </c>
      <c r="AC127" s="48" t="str">
        <f t="shared" si="11"/>
        <v>-</v>
      </c>
      <c r="AD127" s="48" t="str">
        <f t="shared" si="12"/>
        <v>-</v>
      </c>
      <c r="AE127" s="48" t="str">
        <f t="shared" si="13"/>
        <v>-</v>
      </c>
      <c r="AF127" s="48" t="str">
        <f t="shared" si="14"/>
        <v>-</v>
      </c>
      <c r="AG127" s="48" t="str">
        <f t="shared" si="15"/>
        <v>-</v>
      </c>
    </row>
    <row r="128" spans="1:33" ht="15" thickBot="1" x14ac:dyDescent="0.35">
      <c r="A128" s="574"/>
      <c r="B128" s="346" t="s">
        <v>548</v>
      </c>
      <c r="C128" s="347">
        <v>5</v>
      </c>
      <c r="D128" s="335"/>
      <c r="E128" s="348">
        <v>0.8</v>
      </c>
      <c r="F128" s="349">
        <v>0.6</v>
      </c>
      <c r="G128" s="349">
        <v>0.3</v>
      </c>
      <c r="H128" s="348">
        <v>0.8</v>
      </c>
      <c r="I128" s="347" t="s">
        <v>578</v>
      </c>
      <c r="J128" s="350"/>
      <c r="K128" s="336"/>
      <c r="L128" s="336"/>
      <c r="M128" s="336"/>
      <c r="N128" s="336"/>
      <c r="O128" s="336"/>
      <c r="P128" s="336"/>
      <c r="Q128" s="336"/>
      <c r="R128" s="336"/>
      <c r="S128" s="336"/>
      <c r="T128" s="336"/>
      <c r="U128" s="351"/>
      <c r="V128" s="352" t="s">
        <v>379</v>
      </c>
      <c r="W128" s="323">
        <v>1</v>
      </c>
      <c r="X128" s="324">
        <v>1.89</v>
      </c>
      <c r="Z128" s="48">
        <f t="shared" si="8"/>
        <v>1.89</v>
      </c>
      <c r="AA128" s="48" t="str">
        <f t="shared" si="9"/>
        <v>-</v>
      </c>
      <c r="AB128" s="48" t="str">
        <f t="shared" si="10"/>
        <v>-</v>
      </c>
      <c r="AC128" s="48" t="str">
        <f t="shared" si="11"/>
        <v>-</v>
      </c>
      <c r="AD128" s="48" t="str">
        <f t="shared" si="12"/>
        <v>-</v>
      </c>
      <c r="AE128" s="48" t="str">
        <f t="shared" si="13"/>
        <v>-</v>
      </c>
      <c r="AF128" s="48" t="str">
        <f t="shared" si="14"/>
        <v>-</v>
      </c>
      <c r="AG128" s="48" t="str">
        <f t="shared" si="15"/>
        <v>-</v>
      </c>
    </row>
    <row r="129" spans="1:33" ht="15" thickBot="1" x14ac:dyDescent="0.35">
      <c r="A129" s="574"/>
      <c r="B129" s="346" t="s">
        <v>548</v>
      </c>
      <c r="C129" s="347">
        <v>4</v>
      </c>
      <c r="D129" s="335"/>
      <c r="E129" s="348">
        <v>0.8</v>
      </c>
      <c r="F129" s="349">
        <v>0.6</v>
      </c>
      <c r="G129" s="349">
        <v>0.3</v>
      </c>
      <c r="H129" s="348">
        <v>0.8</v>
      </c>
      <c r="I129" s="347" t="s">
        <v>578</v>
      </c>
      <c r="J129" s="350"/>
      <c r="K129" s="336"/>
      <c r="L129" s="336"/>
      <c r="M129" s="336"/>
      <c r="N129" s="336"/>
      <c r="O129" s="336"/>
      <c r="P129" s="336"/>
      <c r="Q129" s="336"/>
      <c r="R129" s="336"/>
      <c r="S129" s="336"/>
      <c r="T129" s="336"/>
      <c r="U129" s="351"/>
      <c r="V129" s="352" t="s">
        <v>379</v>
      </c>
      <c r="W129" s="323">
        <v>1</v>
      </c>
      <c r="X129" s="324">
        <v>1.79</v>
      </c>
      <c r="Z129" s="48">
        <f t="shared" si="8"/>
        <v>1.79</v>
      </c>
      <c r="AA129" s="48" t="str">
        <f t="shared" si="9"/>
        <v>-</v>
      </c>
      <c r="AB129" s="48" t="str">
        <f t="shared" si="10"/>
        <v>-</v>
      </c>
      <c r="AC129" s="48" t="str">
        <f t="shared" si="11"/>
        <v>-</v>
      </c>
      <c r="AD129" s="48" t="str">
        <f t="shared" si="12"/>
        <v>-</v>
      </c>
      <c r="AE129" s="48" t="str">
        <f t="shared" si="13"/>
        <v>-</v>
      </c>
      <c r="AF129" s="48" t="str">
        <f t="shared" si="14"/>
        <v>-</v>
      </c>
      <c r="AG129" s="48" t="str">
        <f t="shared" si="15"/>
        <v>-</v>
      </c>
    </row>
    <row r="130" spans="1:33" ht="15" thickBot="1" x14ac:dyDescent="0.35">
      <c r="A130" s="574"/>
      <c r="B130" s="346" t="s">
        <v>548</v>
      </c>
      <c r="C130" s="347">
        <v>3</v>
      </c>
      <c r="D130" s="335"/>
      <c r="E130" s="348">
        <v>0.8</v>
      </c>
      <c r="F130" s="349">
        <v>0.6</v>
      </c>
      <c r="G130" s="349">
        <v>0.3</v>
      </c>
      <c r="H130" s="348">
        <v>0.8</v>
      </c>
      <c r="I130" s="347" t="s">
        <v>578</v>
      </c>
      <c r="J130" s="350"/>
      <c r="K130" s="336"/>
      <c r="L130" s="336"/>
      <c r="M130" s="336"/>
      <c r="N130" s="336"/>
      <c r="O130" s="336"/>
      <c r="P130" s="336"/>
      <c r="Q130" s="336"/>
      <c r="R130" s="336"/>
      <c r="S130" s="336"/>
      <c r="T130" s="336"/>
      <c r="U130" s="351"/>
      <c r="V130" s="352" t="s">
        <v>379</v>
      </c>
      <c r="W130" s="323">
        <v>1</v>
      </c>
      <c r="X130" s="324">
        <v>1.71</v>
      </c>
      <c r="Z130" s="48">
        <f t="shared" si="8"/>
        <v>1.71</v>
      </c>
      <c r="AA130" s="48" t="str">
        <f t="shared" si="9"/>
        <v>-</v>
      </c>
      <c r="AB130" s="48" t="str">
        <f t="shared" si="10"/>
        <v>-</v>
      </c>
      <c r="AC130" s="48" t="str">
        <f t="shared" si="11"/>
        <v>-</v>
      </c>
      <c r="AD130" s="48" t="str">
        <f t="shared" si="12"/>
        <v>-</v>
      </c>
      <c r="AE130" s="48" t="str">
        <f t="shared" si="13"/>
        <v>-</v>
      </c>
      <c r="AF130" s="48" t="str">
        <f t="shared" si="14"/>
        <v>-</v>
      </c>
      <c r="AG130" s="48" t="str">
        <f t="shared" si="15"/>
        <v>-</v>
      </c>
    </row>
    <row r="131" spans="1:33" ht="15" thickBot="1" x14ac:dyDescent="0.35">
      <c r="A131" s="574"/>
      <c r="B131" s="346" t="s">
        <v>548</v>
      </c>
      <c r="C131" s="347">
        <v>124</v>
      </c>
      <c r="D131" s="335"/>
      <c r="E131" s="348">
        <v>0.8</v>
      </c>
      <c r="F131" s="349">
        <v>0.6</v>
      </c>
      <c r="G131" s="349">
        <v>0.3</v>
      </c>
      <c r="H131" s="348">
        <v>0.8</v>
      </c>
      <c r="I131" s="347" t="s">
        <v>578</v>
      </c>
      <c r="J131" s="350"/>
      <c r="K131" s="336"/>
      <c r="L131" s="336"/>
      <c r="M131" s="336"/>
      <c r="N131" s="336"/>
      <c r="O131" s="336"/>
      <c r="P131" s="336"/>
      <c r="Q131" s="336"/>
      <c r="R131" s="336"/>
      <c r="S131" s="336"/>
      <c r="T131" s="336"/>
      <c r="U131" s="351"/>
      <c r="V131" s="352" t="s">
        <v>379</v>
      </c>
      <c r="W131" s="323">
        <v>1</v>
      </c>
      <c r="X131" s="324">
        <v>1.61</v>
      </c>
      <c r="Z131" s="48">
        <f t="shared" si="8"/>
        <v>1.61</v>
      </c>
      <c r="AA131" s="48" t="str">
        <f t="shared" si="9"/>
        <v>-</v>
      </c>
      <c r="AB131" s="48" t="str">
        <f t="shared" si="10"/>
        <v>-</v>
      </c>
      <c r="AC131" s="48" t="str">
        <f t="shared" si="11"/>
        <v>-</v>
      </c>
      <c r="AD131" s="48" t="str">
        <f t="shared" si="12"/>
        <v>-</v>
      </c>
      <c r="AE131" s="48" t="str">
        <f t="shared" si="13"/>
        <v>-</v>
      </c>
      <c r="AF131" s="48" t="str">
        <f t="shared" si="14"/>
        <v>-</v>
      </c>
      <c r="AG131" s="48" t="str">
        <f t="shared" si="15"/>
        <v>-</v>
      </c>
    </row>
    <row r="132" spans="1:33" ht="15" thickBot="1" x14ac:dyDescent="0.35">
      <c r="A132" s="574"/>
      <c r="B132" s="346" t="s">
        <v>548</v>
      </c>
      <c r="C132" s="347">
        <v>112</v>
      </c>
      <c r="D132" s="335"/>
      <c r="E132" s="348">
        <v>0.8</v>
      </c>
      <c r="F132" s="349">
        <v>0.6</v>
      </c>
      <c r="G132" s="349">
        <v>0.3</v>
      </c>
      <c r="H132" s="348">
        <v>0.8</v>
      </c>
      <c r="I132" s="347" t="s">
        <v>578</v>
      </c>
      <c r="J132" s="350"/>
      <c r="K132" s="336"/>
      <c r="L132" s="336"/>
      <c r="M132" s="336"/>
      <c r="N132" s="336"/>
      <c r="O132" s="336"/>
      <c r="P132" s="336"/>
      <c r="Q132" s="336"/>
      <c r="R132" s="336"/>
      <c r="S132" s="336"/>
      <c r="T132" s="336"/>
      <c r="U132" s="351"/>
      <c r="V132" s="352" t="s">
        <v>379</v>
      </c>
      <c r="W132" s="323">
        <v>1</v>
      </c>
      <c r="X132" s="324">
        <v>1.54</v>
      </c>
      <c r="Z132" s="48">
        <f t="shared" ref="Z132:Z195" si="16">IF(AND(0&lt;=$H132,$H132&lt;=1,$V132="U")=TRUE,$X132,"-")</f>
        <v>1.54</v>
      </c>
      <c r="AA132" s="48" t="str">
        <f t="shared" ref="AA132:AA195" si="17">IF(AND(0&lt;=$H132,$H132&lt;=1,$V132="r")=TRUE,$X132,"-")</f>
        <v>-</v>
      </c>
      <c r="AB132" s="48" t="str">
        <f t="shared" ref="AB132:AB195" si="18">IF(AND(0&lt;=$H132,$H132&lt;=1,$V132="RI")=TRUE,$X132,"-")</f>
        <v>-</v>
      </c>
      <c r="AC132" s="48" t="str">
        <f t="shared" ref="AC132:AC195" si="19">IF(AND(0&lt;=$H132,$H132&lt;=1,$V132="RE")=TRUE,$X132,"-")</f>
        <v>-</v>
      </c>
      <c r="AD132" s="48" t="str">
        <f t="shared" ref="AD132:AD195" si="20">IF(AND(1.01&lt;=$H132,$H132&lt;=1.25,$V132="U")=TRUE,$X132,"-")</f>
        <v>-</v>
      </c>
      <c r="AE132" s="48" t="str">
        <f t="shared" ref="AE132:AE195" si="21">IF(AND(1.01&lt;=$H132,$H132&lt;=1.25,$V132="R")=TRUE,$X132,"-")</f>
        <v>-</v>
      </c>
      <c r="AF132" s="48" t="str">
        <f t="shared" ref="AF132:AF195" si="22">IF(AND(1.01&lt;=$H132,$H132&lt;=1.25,$V132="RI")=TRUE,$X132,"-")</f>
        <v>-</v>
      </c>
      <c r="AG132" s="48" t="str">
        <f t="shared" ref="AG132:AG195" si="23">IF(AND(1.01&lt;=$H132,$H132&lt;=1.25,$V132="RE")=TRUE,$X132,"-")</f>
        <v>-</v>
      </c>
    </row>
    <row r="133" spans="1:33" ht="15" thickBot="1" x14ac:dyDescent="0.35">
      <c r="A133" s="574"/>
      <c r="B133" s="346" t="s">
        <v>545</v>
      </c>
      <c r="C133" s="347">
        <v>240</v>
      </c>
      <c r="D133" s="335"/>
      <c r="E133" s="348">
        <v>0.8</v>
      </c>
      <c r="F133" s="349">
        <v>0.6</v>
      </c>
      <c r="G133" s="349">
        <v>0.3</v>
      </c>
      <c r="H133" s="348">
        <v>0.8</v>
      </c>
      <c r="I133" s="347" t="s">
        <v>578</v>
      </c>
      <c r="J133" s="350"/>
      <c r="K133" s="336"/>
      <c r="L133" s="336"/>
      <c r="M133" s="336"/>
      <c r="N133" s="336"/>
      <c r="O133" s="336"/>
      <c r="P133" s="336"/>
      <c r="Q133" s="336"/>
      <c r="R133" s="336"/>
      <c r="S133" s="336"/>
      <c r="T133" s="336"/>
      <c r="U133" s="351"/>
      <c r="V133" s="352" t="s">
        <v>379</v>
      </c>
      <c r="W133" s="323"/>
      <c r="X133" s="324">
        <v>9.48</v>
      </c>
      <c r="Z133" s="48">
        <f t="shared" si="16"/>
        <v>9.48</v>
      </c>
      <c r="AA133" s="48" t="str">
        <f t="shared" si="17"/>
        <v>-</v>
      </c>
      <c r="AB133" s="48" t="str">
        <f t="shared" si="18"/>
        <v>-</v>
      </c>
      <c r="AC133" s="48" t="str">
        <f t="shared" si="19"/>
        <v>-</v>
      </c>
      <c r="AD133" s="48" t="str">
        <f t="shared" si="20"/>
        <v>-</v>
      </c>
      <c r="AE133" s="48" t="str">
        <f t="shared" si="21"/>
        <v>-</v>
      </c>
      <c r="AF133" s="48" t="str">
        <f t="shared" si="22"/>
        <v>-</v>
      </c>
      <c r="AG133" s="48" t="str">
        <f t="shared" si="23"/>
        <v>-</v>
      </c>
    </row>
    <row r="134" spans="1:33" ht="15" thickBot="1" x14ac:dyDescent="0.35">
      <c r="A134" s="574"/>
      <c r="B134" s="346" t="s">
        <v>545</v>
      </c>
      <c r="C134" s="347">
        <v>250</v>
      </c>
      <c r="D134" s="335"/>
      <c r="E134" s="348">
        <v>0.8</v>
      </c>
      <c r="F134" s="349">
        <v>0.6</v>
      </c>
      <c r="G134" s="349">
        <v>0.3</v>
      </c>
      <c r="H134" s="348">
        <v>0.8</v>
      </c>
      <c r="I134" s="347" t="s">
        <v>578</v>
      </c>
      <c r="J134" s="350"/>
      <c r="K134" s="336"/>
      <c r="L134" s="336"/>
      <c r="M134" s="336"/>
      <c r="N134" s="336"/>
      <c r="O134" s="336"/>
      <c r="P134" s="336"/>
      <c r="Q134" s="336"/>
      <c r="R134" s="336"/>
      <c r="S134" s="336"/>
      <c r="T134" s="336"/>
      <c r="U134" s="351"/>
      <c r="V134" s="352" t="s">
        <v>379</v>
      </c>
      <c r="W134" s="323"/>
      <c r="X134" s="324">
        <v>9.4700000000000006</v>
      </c>
      <c r="Z134" s="48">
        <f t="shared" si="16"/>
        <v>9.4700000000000006</v>
      </c>
      <c r="AA134" s="48" t="str">
        <f t="shared" si="17"/>
        <v>-</v>
      </c>
      <c r="AB134" s="48" t="str">
        <f t="shared" si="18"/>
        <v>-</v>
      </c>
      <c r="AC134" s="48" t="str">
        <f t="shared" si="19"/>
        <v>-</v>
      </c>
      <c r="AD134" s="48" t="str">
        <f t="shared" si="20"/>
        <v>-</v>
      </c>
      <c r="AE134" s="48" t="str">
        <f t="shared" si="21"/>
        <v>-</v>
      </c>
      <c r="AF134" s="48" t="str">
        <f t="shared" si="22"/>
        <v>-</v>
      </c>
      <c r="AG134" s="48" t="str">
        <f t="shared" si="23"/>
        <v>-</v>
      </c>
    </row>
    <row r="135" spans="1:33" ht="15" thickBot="1" x14ac:dyDescent="0.35">
      <c r="A135" s="574"/>
      <c r="B135" s="346" t="s">
        <v>545</v>
      </c>
      <c r="C135" s="347">
        <v>260</v>
      </c>
      <c r="D135" s="335"/>
      <c r="E135" s="348">
        <v>0.8</v>
      </c>
      <c r="F135" s="349">
        <v>0.6</v>
      </c>
      <c r="G135" s="349">
        <v>0.3</v>
      </c>
      <c r="H135" s="348">
        <v>0.8</v>
      </c>
      <c r="I135" s="347" t="s">
        <v>578</v>
      </c>
      <c r="J135" s="350"/>
      <c r="K135" s="336"/>
      <c r="L135" s="336"/>
      <c r="M135" s="336"/>
      <c r="N135" s="336"/>
      <c r="O135" s="336"/>
      <c r="P135" s="336"/>
      <c r="Q135" s="336"/>
      <c r="R135" s="336"/>
      <c r="S135" s="336"/>
      <c r="T135" s="336"/>
      <c r="U135" s="351"/>
      <c r="V135" s="352" t="s">
        <v>379</v>
      </c>
      <c r="W135" s="323"/>
      <c r="X135" s="324">
        <v>9.4499999999999993</v>
      </c>
      <c r="Z135" s="48">
        <f t="shared" si="16"/>
        <v>9.4499999999999993</v>
      </c>
      <c r="AA135" s="48" t="str">
        <f t="shared" si="17"/>
        <v>-</v>
      </c>
      <c r="AB135" s="48" t="str">
        <f t="shared" si="18"/>
        <v>-</v>
      </c>
      <c r="AC135" s="48" t="str">
        <f t="shared" si="19"/>
        <v>-</v>
      </c>
      <c r="AD135" s="48" t="str">
        <f t="shared" si="20"/>
        <v>-</v>
      </c>
      <c r="AE135" s="48" t="str">
        <f t="shared" si="21"/>
        <v>-</v>
      </c>
      <c r="AF135" s="48" t="str">
        <f t="shared" si="22"/>
        <v>-</v>
      </c>
      <c r="AG135" s="48" t="str">
        <f t="shared" si="23"/>
        <v>-</v>
      </c>
    </row>
    <row r="136" spans="1:33" ht="15" thickBot="1" x14ac:dyDescent="0.35">
      <c r="A136" s="574"/>
      <c r="B136" s="346" t="s">
        <v>545</v>
      </c>
      <c r="C136" s="347">
        <v>270</v>
      </c>
      <c r="D136" s="335"/>
      <c r="E136" s="348">
        <v>0.8</v>
      </c>
      <c r="F136" s="349">
        <v>0.6</v>
      </c>
      <c r="G136" s="349">
        <v>0.3</v>
      </c>
      <c r="H136" s="348">
        <v>0.8</v>
      </c>
      <c r="I136" s="347" t="s">
        <v>578</v>
      </c>
      <c r="J136" s="350"/>
      <c r="K136" s="336"/>
      <c r="L136" s="336"/>
      <c r="M136" s="336"/>
      <c r="N136" s="336"/>
      <c r="O136" s="336"/>
      <c r="P136" s="336"/>
      <c r="Q136" s="336"/>
      <c r="R136" s="336"/>
      <c r="S136" s="336"/>
      <c r="T136" s="336"/>
      <c r="U136" s="351"/>
      <c r="V136" s="352" t="s">
        <v>379</v>
      </c>
      <c r="W136" s="323"/>
      <c r="X136" s="324">
        <v>9.44</v>
      </c>
      <c r="Z136" s="48">
        <f t="shared" si="16"/>
        <v>9.44</v>
      </c>
      <c r="AA136" s="48" t="str">
        <f t="shared" si="17"/>
        <v>-</v>
      </c>
      <c r="AB136" s="48" t="str">
        <f t="shared" si="18"/>
        <v>-</v>
      </c>
      <c r="AC136" s="48" t="str">
        <f t="shared" si="19"/>
        <v>-</v>
      </c>
      <c r="AD136" s="48" t="str">
        <f t="shared" si="20"/>
        <v>-</v>
      </c>
      <c r="AE136" s="48" t="str">
        <f t="shared" si="21"/>
        <v>-</v>
      </c>
      <c r="AF136" s="48" t="str">
        <f t="shared" si="22"/>
        <v>-</v>
      </c>
      <c r="AG136" s="48" t="str">
        <f t="shared" si="23"/>
        <v>-</v>
      </c>
    </row>
    <row r="137" spans="1:33" ht="15" thickBot="1" x14ac:dyDescent="0.35">
      <c r="A137" s="574"/>
      <c r="B137" s="346" t="s">
        <v>545</v>
      </c>
      <c r="C137" s="347">
        <v>280</v>
      </c>
      <c r="D137" s="335"/>
      <c r="E137" s="348">
        <v>0.8</v>
      </c>
      <c r="F137" s="349">
        <v>0.6</v>
      </c>
      <c r="G137" s="349">
        <v>0.3</v>
      </c>
      <c r="H137" s="348">
        <v>0.8</v>
      </c>
      <c r="I137" s="347" t="s">
        <v>578</v>
      </c>
      <c r="J137" s="350"/>
      <c r="K137" s="336"/>
      <c r="L137" s="336"/>
      <c r="M137" s="336"/>
      <c r="N137" s="336"/>
      <c r="O137" s="336"/>
      <c r="P137" s="336"/>
      <c r="Q137" s="336"/>
      <c r="R137" s="336"/>
      <c r="S137" s="336"/>
      <c r="T137" s="336"/>
      <c r="U137" s="351"/>
      <c r="V137" s="352" t="s">
        <v>379</v>
      </c>
      <c r="W137" s="323"/>
      <c r="X137" s="324">
        <v>9.43</v>
      </c>
      <c r="Z137" s="48">
        <f t="shared" si="16"/>
        <v>9.43</v>
      </c>
      <c r="AA137" s="48" t="str">
        <f t="shared" si="17"/>
        <v>-</v>
      </c>
      <c r="AB137" s="48" t="str">
        <f t="shared" si="18"/>
        <v>-</v>
      </c>
      <c r="AC137" s="48" t="str">
        <f t="shared" si="19"/>
        <v>-</v>
      </c>
      <c r="AD137" s="48" t="str">
        <f t="shared" si="20"/>
        <v>-</v>
      </c>
      <c r="AE137" s="48" t="str">
        <f t="shared" si="21"/>
        <v>-</v>
      </c>
      <c r="AF137" s="48" t="str">
        <f t="shared" si="22"/>
        <v>-</v>
      </c>
      <c r="AG137" s="48" t="str">
        <f t="shared" si="23"/>
        <v>-</v>
      </c>
    </row>
    <row r="138" spans="1:33" ht="15" thickBot="1" x14ac:dyDescent="0.35">
      <c r="A138" s="574"/>
      <c r="B138" s="346" t="s">
        <v>547</v>
      </c>
      <c r="C138" s="347">
        <v>181</v>
      </c>
      <c r="D138" s="335"/>
      <c r="E138" s="348">
        <v>0.8</v>
      </c>
      <c r="F138" s="349">
        <v>0.6</v>
      </c>
      <c r="G138" s="349">
        <v>0.3</v>
      </c>
      <c r="H138" s="348">
        <v>0.8</v>
      </c>
      <c r="I138" s="347" t="s">
        <v>578</v>
      </c>
      <c r="J138" s="350"/>
      <c r="K138" s="336"/>
      <c r="L138" s="336"/>
      <c r="M138" s="336"/>
      <c r="N138" s="336"/>
      <c r="O138" s="336"/>
      <c r="P138" s="336"/>
      <c r="Q138" s="336"/>
      <c r="R138" s="336"/>
      <c r="S138" s="336"/>
      <c r="T138" s="336"/>
      <c r="U138" s="351"/>
      <c r="V138" s="352" t="s">
        <v>379</v>
      </c>
      <c r="W138" s="323">
        <v>1</v>
      </c>
      <c r="X138" s="324">
        <v>0.78</v>
      </c>
      <c r="Z138" s="48">
        <f t="shared" si="16"/>
        <v>0.78</v>
      </c>
      <c r="AA138" s="48" t="str">
        <f t="shared" si="17"/>
        <v>-</v>
      </c>
      <c r="AB138" s="48" t="str">
        <f t="shared" si="18"/>
        <v>-</v>
      </c>
      <c r="AC138" s="48" t="str">
        <f t="shared" si="19"/>
        <v>-</v>
      </c>
      <c r="AD138" s="48" t="str">
        <f t="shared" si="20"/>
        <v>-</v>
      </c>
      <c r="AE138" s="48" t="str">
        <f t="shared" si="21"/>
        <v>-</v>
      </c>
      <c r="AF138" s="48" t="str">
        <f t="shared" si="22"/>
        <v>-</v>
      </c>
      <c r="AG138" s="48" t="str">
        <f t="shared" si="23"/>
        <v>-</v>
      </c>
    </row>
    <row r="139" spans="1:33" ht="15" thickBot="1" x14ac:dyDescent="0.35">
      <c r="A139" s="574"/>
      <c r="B139" s="346" t="s">
        <v>547</v>
      </c>
      <c r="C139" s="347">
        <v>15</v>
      </c>
      <c r="D139" s="335"/>
      <c r="E139" s="348">
        <v>0.8</v>
      </c>
      <c r="F139" s="349">
        <v>0.6</v>
      </c>
      <c r="G139" s="349">
        <v>0.3</v>
      </c>
      <c r="H139" s="348">
        <v>0.8</v>
      </c>
      <c r="I139" s="347" t="s">
        <v>578</v>
      </c>
      <c r="J139" s="350"/>
      <c r="K139" s="336"/>
      <c r="L139" s="336"/>
      <c r="M139" s="336"/>
      <c r="N139" s="336"/>
      <c r="O139" s="336"/>
      <c r="P139" s="336"/>
      <c r="Q139" s="336"/>
      <c r="R139" s="336"/>
      <c r="S139" s="336"/>
      <c r="T139" s="336"/>
      <c r="U139" s="351"/>
      <c r="V139" s="352" t="s">
        <v>379</v>
      </c>
      <c r="W139" s="323">
        <v>1</v>
      </c>
      <c r="X139" s="324">
        <v>0.78</v>
      </c>
      <c r="Z139" s="48">
        <f t="shared" si="16"/>
        <v>0.78</v>
      </c>
      <c r="AA139" s="48" t="str">
        <f t="shared" si="17"/>
        <v>-</v>
      </c>
      <c r="AB139" s="48" t="str">
        <f t="shared" si="18"/>
        <v>-</v>
      </c>
      <c r="AC139" s="48" t="str">
        <f t="shared" si="19"/>
        <v>-</v>
      </c>
      <c r="AD139" s="48" t="str">
        <f t="shared" si="20"/>
        <v>-</v>
      </c>
      <c r="AE139" s="48" t="str">
        <f t="shared" si="21"/>
        <v>-</v>
      </c>
      <c r="AF139" s="48" t="str">
        <f t="shared" si="22"/>
        <v>-</v>
      </c>
      <c r="AG139" s="48" t="str">
        <f t="shared" si="23"/>
        <v>-</v>
      </c>
    </row>
    <row r="140" spans="1:33" ht="15" thickBot="1" x14ac:dyDescent="0.35">
      <c r="A140" s="574"/>
      <c r="B140" s="346" t="s">
        <v>547</v>
      </c>
      <c r="C140" s="347">
        <v>16</v>
      </c>
      <c r="D140" s="335"/>
      <c r="E140" s="348">
        <v>0.8</v>
      </c>
      <c r="F140" s="349">
        <v>0.6</v>
      </c>
      <c r="G140" s="349">
        <v>0.3</v>
      </c>
      <c r="H140" s="348">
        <v>0.8</v>
      </c>
      <c r="I140" s="347" t="s">
        <v>578</v>
      </c>
      <c r="J140" s="350"/>
      <c r="K140" s="336"/>
      <c r="L140" s="336"/>
      <c r="M140" s="336"/>
      <c r="N140" s="336"/>
      <c r="O140" s="336"/>
      <c r="P140" s="336"/>
      <c r="Q140" s="336"/>
      <c r="R140" s="336"/>
      <c r="S140" s="336"/>
      <c r="T140" s="336"/>
      <c r="U140" s="351"/>
      <c r="V140" s="352" t="s">
        <v>379</v>
      </c>
      <c r="W140" s="323">
        <v>1</v>
      </c>
      <c r="X140" s="324">
        <v>0.78</v>
      </c>
      <c r="Z140" s="48">
        <f t="shared" si="16"/>
        <v>0.78</v>
      </c>
      <c r="AA140" s="48" t="str">
        <f t="shared" si="17"/>
        <v>-</v>
      </c>
      <c r="AB140" s="48" t="str">
        <f t="shared" si="18"/>
        <v>-</v>
      </c>
      <c r="AC140" s="48" t="str">
        <f t="shared" si="19"/>
        <v>-</v>
      </c>
      <c r="AD140" s="48" t="str">
        <f t="shared" si="20"/>
        <v>-</v>
      </c>
      <c r="AE140" s="48" t="str">
        <f t="shared" si="21"/>
        <v>-</v>
      </c>
      <c r="AF140" s="48" t="str">
        <f t="shared" si="22"/>
        <v>-</v>
      </c>
      <c r="AG140" s="48" t="str">
        <f t="shared" si="23"/>
        <v>-</v>
      </c>
    </row>
    <row r="141" spans="1:33" ht="15" thickBot="1" x14ac:dyDescent="0.35">
      <c r="A141" s="574"/>
      <c r="B141" s="346" t="s">
        <v>547</v>
      </c>
      <c r="C141" s="347">
        <v>17</v>
      </c>
      <c r="D141" s="335"/>
      <c r="E141" s="348">
        <v>0.8</v>
      </c>
      <c r="F141" s="349">
        <v>0.6</v>
      </c>
      <c r="G141" s="349">
        <v>0.3</v>
      </c>
      <c r="H141" s="348">
        <v>0.8</v>
      </c>
      <c r="I141" s="347" t="s">
        <v>578</v>
      </c>
      <c r="J141" s="350"/>
      <c r="K141" s="336"/>
      <c r="L141" s="336"/>
      <c r="M141" s="336"/>
      <c r="N141" s="336"/>
      <c r="O141" s="336"/>
      <c r="P141" s="336"/>
      <c r="Q141" s="336"/>
      <c r="R141" s="336"/>
      <c r="S141" s="336"/>
      <c r="T141" s="336"/>
      <c r="U141" s="351"/>
      <c r="V141" s="352" t="s">
        <v>379</v>
      </c>
      <c r="W141" s="323">
        <v>1</v>
      </c>
      <c r="X141" s="324">
        <v>0.78</v>
      </c>
      <c r="Z141" s="48">
        <f t="shared" si="16"/>
        <v>0.78</v>
      </c>
      <c r="AA141" s="48" t="str">
        <f t="shared" si="17"/>
        <v>-</v>
      </c>
      <c r="AB141" s="48" t="str">
        <f t="shared" si="18"/>
        <v>-</v>
      </c>
      <c r="AC141" s="48" t="str">
        <f t="shared" si="19"/>
        <v>-</v>
      </c>
      <c r="AD141" s="48" t="str">
        <f t="shared" si="20"/>
        <v>-</v>
      </c>
      <c r="AE141" s="48" t="str">
        <f t="shared" si="21"/>
        <v>-</v>
      </c>
      <c r="AF141" s="48" t="str">
        <f t="shared" si="22"/>
        <v>-</v>
      </c>
      <c r="AG141" s="48" t="str">
        <f t="shared" si="23"/>
        <v>-</v>
      </c>
    </row>
    <row r="142" spans="1:33" ht="15" thickBot="1" x14ac:dyDescent="0.35">
      <c r="A142" s="574"/>
      <c r="B142" s="346" t="s">
        <v>547</v>
      </c>
      <c r="C142" s="347">
        <v>18</v>
      </c>
      <c r="D142" s="335"/>
      <c r="E142" s="348">
        <v>0.8</v>
      </c>
      <c r="F142" s="349">
        <v>0.6</v>
      </c>
      <c r="G142" s="349">
        <v>0.3</v>
      </c>
      <c r="H142" s="348">
        <v>0.8</v>
      </c>
      <c r="I142" s="347" t="s">
        <v>578</v>
      </c>
      <c r="J142" s="350"/>
      <c r="K142" s="336"/>
      <c r="L142" s="336"/>
      <c r="M142" s="336"/>
      <c r="N142" s="336"/>
      <c r="O142" s="336"/>
      <c r="P142" s="336"/>
      <c r="Q142" s="336"/>
      <c r="R142" s="336"/>
      <c r="S142" s="336"/>
      <c r="T142" s="336"/>
      <c r="U142" s="351"/>
      <c r="V142" s="352" t="s">
        <v>379</v>
      </c>
      <c r="W142" s="323">
        <v>1</v>
      </c>
      <c r="X142" s="324">
        <v>2.36</v>
      </c>
      <c r="Z142" s="48">
        <f t="shared" si="16"/>
        <v>2.36</v>
      </c>
      <c r="AA142" s="48" t="str">
        <f t="shared" si="17"/>
        <v>-</v>
      </c>
      <c r="AB142" s="48" t="str">
        <f t="shared" si="18"/>
        <v>-</v>
      </c>
      <c r="AC142" s="48" t="str">
        <f t="shared" si="19"/>
        <v>-</v>
      </c>
      <c r="AD142" s="48" t="str">
        <f t="shared" si="20"/>
        <v>-</v>
      </c>
      <c r="AE142" s="48" t="str">
        <f t="shared" si="21"/>
        <v>-</v>
      </c>
      <c r="AF142" s="48" t="str">
        <f t="shared" si="22"/>
        <v>-</v>
      </c>
      <c r="AG142" s="48" t="str">
        <f t="shared" si="23"/>
        <v>-</v>
      </c>
    </row>
    <row r="143" spans="1:33" ht="15" thickBot="1" x14ac:dyDescent="0.35">
      <c r="A143" s="574"/>
      <c r="B143" s="346" t="s">
        <v>547</v>
      </c>
      <c r="C143" s="347">
        <v>131</v>
      </c>
      <c r="D143" s="335"/>
      <c r="E143" s="348">
        <v>0.8</v>
      </c>
      <c r="F143" s="349">
        <v>0.6</v>
      </c>
      <c r="G143" s="349">
        <v>0.3</v>
      </c>
      <c r="H143" s="348">
        <v>0.8</v>
      </c>
      <c r="I143" s="347" t="s">
        <v>578</v>
      </c>
      <c r="J143" s="350"/>
      <c r="K143" s="336"/>
      <c r="L143" s="336"/>
      <c r="M143" s="336"/>
      <c r="N143" s="336"/>
      <c r="O143" s="336"/>
      <c r="P143" s="336"/>
      <c r="Q143" s="336"/>
      <c r="R143" s="336"/>
      <c r="S143" s="336"/>
      <c r="T143" s="336"/>
      <c r="U143" s="351"/>
      <c r="V143" s="352" t="s">
        <v>379</v>
      </c>
      <c r="W143" s="323">
        <v>1</v>
      </c>
      <c r="X143" s="324">
        <v>2.46</v>
      </c>
      <c r="Z143" s="48">
        <f t="shared" si="16"/>
        <v>2.46</v>
      </c>
      <c r="AA143" s="48" t="str">
        <f t="shared" si="17"/>
        <v>-</v>
      </c>
      <c r="AB143" s="48" t="str">
        <f t="shared" si="18"/>
        <v>-</v>
      </c>
      <c r="AC143" s="48" t="str">
        <f t="shared" si="19"/>
        <v>-</v>
      </c>
      <c r="AD143" s="48" t="str">
        <f t="shared" si="20"/>
        <v>-</v>
      </c>
      <c r="AE143" s="48" t="str">
        <f t="shared" si="21"/>
        <v>-</v>
      </c>
      <c r="AF143" s="48" t="str">
        <f t="shared" si="22"/>
        <v>-</v>
      </c>
      <c r="AG143" s="48" t="str">
        <f t="shared" si="23"/>
        <v>-</v>
      </c>
    </row>
    <row r="144" spans="1:33" ht="15" thickBot="1" x14ac:dyDescent="0.35">
      <c r="A144" s="575"/>
      <c r="B144" s="367" t="s">
        <v>547</v>
      </c>
      <c r="C144" s="368">
        <v>20</v>
      </c>
      <c r="D144" s="335"/>
      <c r="E144" s="369">
        <v>0.8</v>
      </c>
      <c r="F144" s="370">
        <v>0.6</v>
      </c>
      <c r="G144" s="370">
        <v>0.3</v>
      </c>
      <c r="H144" s="369">
        <v>0.8</v>
      </c>
      <c r="I144" s="368" t="s">
        <v>578</v>
      </c>
      <c r="J144" s="368"/>
      <c r="K144" s="336"/>
      <c r="L144" s="336"/>
      <c r="M144" s="336"/>
      <c r="N144" s="336"/>
      <c r="O144" s="336"/>
      <c r="P144" s="336"/>
      <c r="Q144" s="336"/>
      <c r="R144" s="336"/>
      <c r="S144" s="336"/>
      <c r="T144" s="336"/>
      <c r="U144" s="351"/>
      <c r="V144" s="352" t="s">
        <v>379</v>
      </c>
      <c r="W144" s="329">
        <v>1</v>
      </c>
      <c r="X144" s="330">
        <v>2.54</v>
      </c>
      <c r="Z144" s="48">
        <f t="shared" si="16"/>
        <v>2.54</v>
      </c>
      <c r="AA144" s="48" t="str">
        <f t="shared" si="17"/>
        <v>-</v>
      </c>
      <c r="AB144" s="48" t="str">
        <f t="shared" si="18"/>
        <v>-</v>
      </c>
      <c r="AC144" s="48" t="str">
        <f t="shared" si="19"/>
        <v>-</v>
      </c>
      <c r="AD144" s="48" t="str">
        <f t="shared" si="20"/>
        <v>-</v>
      </c>
      <c r="AE144" s="48" t="str">
        <f t="shared" si="21"/>
        <v>-</v>
      </c>
      <c r="AF144" s="48" t="str">
        <f t="shared" si="22"/>
        <v>-</v>
      </c>
      <c r="AG144" s="48" t="str">
        <f t="shared" si="23"/>
        <v>-</v>
      </c>
    </row>
    <row r="145" spans="1:33" ht="15.75" thickBot="1" x14ac:dyDescent="0.3">
      <c r="A145" s="372" t="s">
        <v>542</v>
      </c>
      <c r="B145" s="373" t="s">
        <v>549</v>
      </c>
      <c r="C145" s="374" t="s">
        <v>542</v>
      </c>
      <c r="D145" s="375"/>
      <c r="E145" s="376">
        <v>0.8</v>
      </c>
      <c r="F145" s="377">
        <v>0.6</v>
      </c>
      <c r="G145" s="377">
        <v>0.3</v>
      </c>
      <c r="H145" s="376">
        <v>0.8</v>
      </c>
      <c r="I145" s="374" t="s">
        <v>578</v>
      </c>
      <c r="J145" s="378"/>
      <c r="K145" s="379"/>
      <c r="L145" s="379"/>
      <c r="M145" s="379"/>
      <c r="N145" s="379"/>
      <c r="O145" s="379"/>
      <c r="P145" s="379"/>
      <c r="Q145" s="379"/>
      <c r="R145" s="379"/>
      <c r="S145" s="379"/>
      <c r="T145" s="379"/>
      <c r="U145" s="380"/>
      <c r="V145" s="381" t="s">
        <v>379</v>
      </c>
      <c r="W145" s="331">
        <v>1</v>
      </c>
      <c r="X145" s="332">
        <v>1.1499999999999999</v>
      </c>
      <c r="Z145" s="48">
        <f t="shared" si="16"/>
        <v>1.1499999999999999</v>
      </c>
      <c r="AA145" s="48" t="str">
        <f t="shared" si="17"/>
        <v>-</v>
      </c>
      <c r="AB145" s="48" t="str">
        <f t="shared" si="18"/>
        <v>-</v>
      </c>
      <c r="AC145" s="48" t="str">
        <f t="shared" si="19"/>
        <v>-</v>
      </c>
      <c r="AD145" s="48" t="str">
        <f t="shared" si="20"/>
        <v>-</v>
      </c>
      <c r="AE145" s="48" t="str">
        <f t="shared" si="21"/>
        <v>-</v>
      </c>
      <c r="AF145" s="48" t="str">
        <f t="shared" si="22"/>
        <v>-</v>
      </c>
      <c r="AG145" s="48" t="str">
        <f t="shared" si="23"/>
        <v>-</v>
      </c>
    </row>
    <row r="146" spans="1:33" ht="15.75" thickBot="1" x14ac:dyDescent="0.3">
      <c r="A146" s="382" t="s">
        <v>542</v>
      </c>
      <c r="B146" s="383" t="s">
        <v>545</v>
      </c>
      <c r="C146" s="384" t="s">
        <v>542</v>
      </c>
      <c r="D146" s="335"/>
      <c r="E146" s="385">
        <v>0.8</v>
      </c>
      <c r="F146" s="386">
        <v>0.6</v>
      </c>
      <c r="G146" s="386">
        <v>0.3</v>
      </c>
      <c r="H146" s="385">
        <v>0.8</v>
      </c>
      <c r="I146" s="384" t="s">
        <v>578</v>
      </c>
      <c r="J146" s="387"/>
      <c r="K146" s="336"/>
      <c r="L146" s="336"/>
      <c r="M146" s="336"/>
      <c r="N146" s="336"/>
      <c r="O146" s="336"/>
      <c r="P146" s="336"/>
      <c r="Q146" s="336"/>
      <c r="R146" s="336"/>
      <c r="S146" s="336"/>
      <c r="T146" s="336"/>
      <c r="U146" s="351"/>
      <c r="V146" s="352" t="s">
        <v>379</v>
      </c>
      <c r="W146" s="333"/>
      <c r="X146" s="334">
        <v>10.39</v>
      </c>
      <c r="Z146" s="48">
        <f t="shared" si="16"/>
        <v>10.39</v>
      </c>
      <c r="AA146" s="48" t="str">
        <f t="shared" si="17"/>
        <v>-</v>
      </c>
      <c r="AB146" s="48" t="str">
        <f t="shared" si="18"/>
        <v>-</v>
      </c>
      <c r="AC146" s="48" t="str">
        <f t="shared" si="19"/>
        <v>-</v>
      </c>
      <c r="AD146" s="48" t="str">
        <f t="shared" si="20"/>
        <v>-</v>
      </c>
      <c r="AE146" s="48" t="str">
        <f t="shared" si="21"/>
        <v>-</v>
      </c>
      <c r="AF146" s="48" t="str">
        <f t="shared" si="22"/>
        <v>-</v>
      </c>
      <c r="AG146" s="48" t="str">
        <f t="shared" si="23"/>
        <v>-</v>
      </c>
    </row>
    <row r="147" spans="1:33" ht="15" thickBot="1" x14ac:dyDescent="0.35">
      <c r="A147" s="576" t="s">
        <v>550</v>
      </c>
      <c r="B147" s="337" t="s">
        <v>545</v>
      </c>
      <c r="C147" s="338">
        <v>1</v>
      </c>
      <c r="D147" s="339"/>
      <c r="E147" s="340">
        <v>0.8</v>
      </c>
      <c r="F147" s="341">
        <v>0.6</v>
      </c>
      <c r="G147" s="341">
        <v>0.3</v>
      </c>
      <c r="H147" s="340">
        <v>0.8</v>
      </c>
      <c r="I147" s="338" t="s">
        <v>578</v>
      </c>
      <c r="J147" s="342"/>
      <c r="K147" s="343"/>
      <c r="L147" s="343"/>
      <c r="M147" s="343"/>
      <c r="N147" s="343"/>
      <c r="O147" s="343"/>
      <c r="P147" s="343"/>
      <c r="Q147" s="343"/>
      <c r="R147" s="343"/>
      <c r="S147" s="343"/>
      <c r="T147" s="343"/>
      <c r="U147" s="344"/>
      <c r="V147" s="345" t="s">
        <v>379</v>
      </c>
      <c r="W147" s="321"/>
      <c r="X147" s="322">
        <v>10.87</v>
      </c>
      <c r="Z147" s="48">
        <f t="shared" si="16"/>
        <v>10.87</v>
      </c>
      <c r="AA147" s="48" t="str">
        <f t="shared" si="17"/>
        <v>-</v>
      </c>
      <c r="AB147" s="48" t="str">
        <f t="shared" si="18"/>
        <v>-</v>
      </c>
      <c r="AC147" s="48" t="str">
        <f t="shared" si="19"/>
        <v>-</v>
      </c>
      <c r="AD147" s="48" t="str">
        <f t="shared" si="20"/>
        <v>-</v>
      </c>
      <c r="AE147" s="48" t="str">
        <f t="shared" si="21"/>
        <v>-</v>
      </c>
      <c r="AF147" s="48" t="str">
        <f t="shared" si="22"/>
        <v>-</v>
      </c>
      <c r="AG147" s="48" t="str">
        <f t="shared" si="23"/>
        <v>-</v>
      </c>
    </row>
    <row r="148" spans="1:33" ht="15" thickBot="1" x14ac:dyDescent="0.35">
      <c r="A148" s="574"/>
      <c r="B148" s="346" t="s">
        <v>545</v>
      </c>
      <c r="C148" s="347">
        <v>2</v>
      </c>
      <c r="D148" s="335"/>
      <c r="E148" s="348">
        <v>0.8</v>
      </c>
      <c r="F148" s="349">
        <v>0.6</v>
      </c>
      <c r="G148" s="349">
        <v>0.3</v>
      </c>
      <c r="H148" s="348">
        <v>0.8</v>
      </c>
      <c r="I148" s="347" t="s">
        <v>578</v>
      </c>
      <c r="J148" s="350"/>
      <c r="K148" s="336"/>
      <c r="L148" s="336"/>
      <c r="M148" s="336"/>
      <c r="N148" s="336"/>
      <c r="O148" s="336"/>
      <c r="P148" s="336"/>
      <c r="Q148" s="336"/>
      <c r="R148" s="336"/>
      <c r="S148" s="336"/>
      <c r="T148" s="336"/>
      <c r="U148" s="351"/>
      <c r="V148" s="352" t="s">
        <v>379</v>
      </c>
      <c r="W148" s="323"/>
      <c r="X148" s="324">
        <v>10.99</v>
      </c>
      <c r="Z148" s="48">
        <f t="shared" si="16"/>
        <v>10.99</v>
      </c>
      <c r="AA148" s="48" t="str">
        <f t="shared" si="17"/>
        <v>-</v>
      </c>
      <c r="AB148" s="48" t="str">
        <f t="shared" si="18"/>
        <v>-</v>
      </c>
      <c r="AC148" s="48" t="str">
        <f t="shared" si="19"/>
        <v>-</v>
      </c>
      <c r="AD148" s="48" t="str">
        <f t="shared" si="20"/>
        <v>-</v>
      </c>
      <c r="AE148" s="48" t="str">
        <f t="shared" si="21"/>
        <v>-</v>
      </c>
      <c r="AF148" s="48" t="str">
        <f t="shared" si="22"/>
        <v>-</v>
      </c>
      <c r="AG148" s="48" t="str">
        <f t="shared" si="23"/>
        <v>-</v>
      </c>
    </row>
    <row r="149" spans="1:33" ht="15" thickBot="1" x14ac:dyDescent="0.35">
      <c r="A149" s="574"/>
      <c r="B149" s="346" t="s">
        <v>545</v>
      </c>
      <c r="C149" s="347">
        <v>3</v>
      </c>
      <c r="D149" s="335"/>
      <c r="E149" s="348">
        <v>0.8</v>
      </c>
      <c r="F149" s="349">
        <v>0.6</v>
      </c>
      <c r="G149" s="349">
        <v>0.3</v>
      </c>
      <c r="H149" s="348">
        <v>0.8</v>
      </c>
      <c r="I149" s="347" t="s">
        <v>578</v>
      </c>
      <c r="J149" s="350"/>
      <c r="K149" s="336"/>
      <c r="L149" s="336"/>
      <c r="M149" s="336"/>
      <c r="N149" s="336"/>
      <c r="O149" s="336"/>
      <c r="P149" s="336"/>
      <c r="Q149" s="336"/>
      <c r="R149" s="336"/>
      <c r="S149" s="336"/>
      <c r="T149" s="336"/>
      <c r="U149" s="351"/>
      <c r="V149" s="352" t="s">
        <v>379</v>
      </c>
      <c r="W149" s="323"/>
      <c r="X149" s="324">
        <v>11.02</v>
      </c>
      <c r="Z149" s="48">
        <f t="shared" si="16"/>
        <v>11.02</v>
      </c>
      <c r="AA149" s="48" t="str">
        <f t="shared" si="17"/>
        <v>-</v>
      </c>
      <c r="AB149" s="48" t="str">
        <f t="shared" si="18"/>
        <v>-</v>
      </c>
      <c r="AC149" s="48" t="str">
        <f t="shared" si="19"/>
        <v>-</v>
      </c>
      <c r="AD149" s="48" t="str">
        <f t="shared" si="20"/>
        <v>-</v>
      </c>
      <c r="AE149" s="48" t="str">
        <f t="shared" si="21"/>
        <v>-</v>
      </c>
      <c r="AF149" s="48" t="str">
        <f t="shared" si="22"/>
        <v>-</v>
      </c>
      <c r="AG149" s="48" t="str">
        <f t="shared" si="23"/>
        <v>-</v>
      </c>
    </row>
    <row r="150" spans="1:33" ht="15" thickBot="1" x14ac:dyDescent="0.35">
      <c r="A150" s="574"/>
      <c r="B150" s="346" t="s">
        <v>545</v>
      </c>
      <c r="C150" s="347">
        <v>4</v>
      </c>
      <c r="D150" s="335"/>
      <c r="E150" s="348">
        <v>0.8</v>
      </c>
      <c r="F150" s="349">
        <v>0.6</v>
      </c>
      <c r="G150" s="349">
        <v>0.3</v>
      </c>
      <c r="H150" s="348">
        <v>0.8</v>
      </c>
      <c r="I150" s="347" t="s">
        <v>578</v>
      </c>
      <c r="J150" s="350"/>
      <c r="K150" s="336"/>
      <c r="L150" s="336"/>
      <c r="M150" s="336"/>
      <c r="N150" s="336"/>
      <c r="O150" s="336"/>
      <c r="P150" s="336"/>
      <c r="Q150" s="336"/>
      <c r="R150" s="336"/>
      <c r="S150" s="336"/>
      <c r="T150" s="336"/>
      <c r="U150" s="351"/>
      <c r="V150" s="352" t="s">
        <v>379</v>
      </c>
      <c r="W150" s="323"/>
      <c r="X150" s="324">
        <v>11.07</v>
      </c>
      <c r="Z150" s="48">
        <f t="shared" si="16"/>
        <v>11.07</v>
      </c>
      <c r="AA150" s="48" t="str">
        <f t="shared" si="17"/>
        <v>-</v>
      </c>
      <c r="AB150" s="48" t="str">
        <f t="shared" si="18"/>
        <v>-</v>
      </c>
      <c r="AC150" s="48" t="str">
        <f t="shared" si="19"/>
        <v>-</v>
      </c>
      <c r="AD150" s="48" t="str">
        <f t="shared" si="20"/>
        <v>-</v>
      </c>
      <c r="AE150" s="48" t="str">
        <f t="shared" si="21"/>
        <v>-</v>
      </c>
      <c r="AF150" s="48" t="str">
        <f t="shared" si="22"/>
        <v>-</v>
      </c>
      <c r="AG150" s="48" t="str">
        <f t="shared" si="23"/>
        <v>-</v>
      </c>
    </row>
    <row r="151" spans="1:33" ht="15" thickBot="1" x14ac:dyDescent="0.35">
      <c r="A151" s="574"/>
      <c r="B151" s="346" t="s">
        <v>545</v>
      </c>
      <c r="C151" s="347">
        <v>5</v>
      </c>
      <c r="D151" s="335"/>
      <c r="E151" s="348">
        <v>0.8</v>
      </c>
      <c r="F151" s="349">
        <v>0.6</v>
      </c>
      <c r="G151" s="349">
        <v>0.3</v>
      </c>
      <c r="H151" s="348">
        <v>0.8</v>
      </c>
      <c r="I151" s="347" t="s">
        <v>578</v>
      </c>
      <c r="J151" s="350"/>
      <c r="K151" s="336"/>
      <c r="L151" s="336"/>
      <c r="M151" s="336"/>
      <c r="N151" s="336"/>
      <c r="O151" s="336"/>
      <c r="P151" s="336"/>
      <c r="Q151" s="336"/>
      <c r="R151" s="336"/>
      <c r="S151" s="336"/>
      <c r="T151" s="336"/>
      <c r="U151" s="351"/>
      <c r="V151" s="352" t="s">
        <v>379</v>
      </c>
      <c r="W151" s="323"/>
      <c r="X151" s="324">
        <v>11.08</v>
      </c>
      <c r="Z151" s="48">
        <f t="shared" si="16"/>
        <v>11.08</v>
      </c>
      <c r="AA151" s="48" t="str">
        <f t="shared" si="17"/>
        <v>-</v>
      </c>
      <c r="AB151" s="48" t="str">
        <f t="shared" si="18"/>
        <v>-</v>
      </c>
      <c r="AC151" s="48" t="str">
        <f t="shared" si="19"/>
        <v>-</v>
      </c>
      <c r="AD151" s="48" t="str">
        <f t="shared" si="20"/>
        <v>-</v>
      </c>
      <c r="AE151" s="48" t="str">
        <f t="shared" si="21"/>
        <v>-</v>
      </c>
      <c r="AF151" s="48" t="str">
        <f t="shared" si="22"/>
        <v>-</v>
      </c>
      <c r="AG151" s="48" t="str">
        <f t="shared" si="23"/>
        <v>-</v>
      </c>
    </row>
    <row r="152" spans="1:33" ht="15" thickBot="1" x14ac:dyDescent="0.35">
      <c r="A152" s="574"/>
      <c r="B152" s="346" t="s">
        <v>545</v>
      </c>
      <c r="C152" s="347">
        <v>6</v>
      </c>
      <c r="D152" s="335"/>
      <c r="E152" s="348">
        <v>0.8</v>
      </c>
      <c r="F152" s="349">
        <v>0.6</v>
      </c>
      <c r="G152" s="349">
        <v>0.3</v>
      </c>
      <c r="H152" s="348">
        <v>0.8</v>
      </c>
      <c r="I152" s="347" t="s">
        <v>578</v>
      </c>
      <c r="J152" s="350"/>
      <c r="K152" s="336"/>
      <c r="L152" s="336"/>
      <c r="M152" s="336"/>
      <c r="N152" s="336"/>
      <c r="O152" s="336"/>
      <c r="P152" s="336"/>
      <c r="Q152" s="336"/>
      <c r="R152" s="336"/>
      <c r="S152" s="336"/>
      <c r="T152" s="336"/>
      <c r="U152" s="351"/>
      <c r="V152" s="352" t="s">
        <v>379</v>
      </c>
      <c r="W152" s="323"/>
      <c r="X152" s="324">
        <v>11.19</v>
      </c>
      <c r="Z152" s="48">
        <f t="shared" si="16"/>
        <v>11.19</v>
      </c>
      <c r="AA152" s="48" t="str">
        <f t="shared" si="17"/>
        <v>-</v>
      </c>
      <c r="AB152" s="48" t="str">
        <f t="shared" si="18"/>
        <v>-</v>
      </c>
      <c r="AC152" s="48" t="str">
        <f t="shared" si="19"/>
        <v>-</v>
      </c>
      <c r="AD152" s="48" t="str">
        <f t="shared" si="20"/>
        <v>-</v>
      </c>
      <c r="AE152" s="48" t="str">
        <f t="shared" si="21"/>
        <v>-</v>
      </c>
      <c r="AF152" s="48" t="str">
        <f t="shared" si="22"/>
        <v>-</v>
      </c>
      <c r="AG152" s="48" t="str">
        <f t="shared" si="23"/>
        <v>-</v>
      </c>
    </row>
    <row r="153" spans="1:33" ht="15" thickBot="1" x14ac:dyDescent="0.35">
      <c r="A153" s="574"/>
      <c r="B153" s="346" t="s">
        <v>545</v>
      </c>
      <c r="C153" s="347">
        <v>7</v>
      </c>
      <c r="D153" s="335"/>
      <c r="E153" s="348">
        <v>0.8</v>
      </c>
      <c r="F153" s="349">
        <v>0.6</v>
      </c>
      <c r="G153" s="349">
        <v>0.3</v>
      </c>
      <c r="H153" s="348">
        <v>0.8</v>
      </c>
      <c r="I153" s="347" t="s">
        <v>578</v>
      </c>
      <c r="J153" s="350"/>
      <c r="K153" s="336"/>
      <c r="L153" s="336"/>
      <c r="M153" s="336"/>
      <c r="N153" s="336"/>
      <c r="O153" s="336"/>
      <c r="P153" s="336"/>
      <c r="Q153" s="336"/>
      <c r="R153" s="336"/>
      <c r="S153" s="336"/>
      <c r="T153" s="336"/>
      <c r="U153" s="351"/>
      <c r="V153" s="352" t="s">
        <v>379</v>
      </c>
      <c r="W153" s="323"/>
      <c r="X153" s="324">
        <v>11.25</v>
      </c>
      <c r="Z153" s="48">
        <f t="shared" si="16"/>
        <v>11.25</v>
      </c>
      <c r="AA153" s="48" t="str">
        <f t="shared" si="17"/>
        <v>-</v>
      </c>
      <c r="AB153" s="48" t="str">
        <f t="shared" si="18"/>
        <v>-</v>
      </c>
      <c r="AC153" s="48" t="str">
        <f t="shared" si="19"/>
        <v>-</v>
      </c>
      <c r="AD153" s="48" t="str">
        <f t="shared" si="20"/>
        <v>-</v>
      </c>
      <c r="AE153" s="48" t="str">
        <f t="shared" si="21"/>
        <v>-</v>
      </c>
      <c r="AF153" s="48" t="str">
        <f t="shared" si="22"/>
        <v>-</v>
      </c>
      <c r="AG153" s="48" t="str">
        <f t="shared" si="23"/>
        <v>-</v>
      </c>
    </row>
    <row r="154" spans="1:33" ht="15" thickBot="1" x14ac:dyDescent="0.35">
      <c r="A154" s="577"/>
      <c r="B154" s="353" t="s">
        <v>545</v>
      </c>
      <c r="C154" s="354">
        <v>8</v>
      </c>
      <c r="D154" s="355"/>
      <c r="E154" s="356">
        <v>0.8</v>
      </c>
      <c r="F154" s="357">
        <v>0.6</v>
      </c>
      <c r="G154" s="357">
        <v>0.3</v>
      </c>
      <c r="H154" s="356">
        <v>0.8</v>
      </c>
      <c r="I154" s="354" t="s">
        <v>578</v>
      </c>
      <c r="J154" s="358"/>
      <c r="K154" s="359"/>
      <c r="L154" s="359"/>
      <c r="M154" s="359"/>
      <c r="N154" s="359"/>
      <c r="O154" s="359"/>
      <c r="P154" s="359"/>
      <c r="Q154" s="359"/>
      <c r="R154" s="359"/>
      <c r="S154" s="359"/>
      <c r="T154" s="359"/>
      <c r="U154" s="360"/>
      <c r="V154" s="361" t="s">
        <v>379</v>
      </c>
      <c r="W154" s="325"/>
      <c r="X154" s="326">
        <v>11.42</v>
      </c>
      <c r="Z154" s="48">
        <f t="shared" si="16"/>
        <v>11.42</v>
      </c>
      <c r="AA154" s="48" t="str">
        <f t="shared" si="17"/>
        <v>-</v>
      </c>
      <c r="AB154" s="48" t="str">
        <f t="shared" si="18"/>
        <v>-</v>
      </c>
      <c r="AC154" s="48" t="str">
        <f t="shared" si="19"/>
        <v>-</v>
      </c>
      <c r="AD154" s="48" t="str">
        <f t="shared" si="20"/>
        <v>-</v>
      </c>
      <c r="AE154" s="48" t="str">
        <f t="shared" si="21"/>
        <v>-</v>
      </c>
      <c r="AF154" s="48" t="str">
        <f t="shared" si="22"/>
        <v>-</v>
      </c>
      <c r="AG154" s="48" t="str">
        <f t="shared" si="23"/>
        <v>-</v>
      </c>
    </row>
    <row r="155" spans="1:33" ht="15" thickBot="1" x14ac:dyDescent="0.35">
      <c r="A155" s="573" t="s">
        <v>389</v>
      </c>
      <c r="B155" s="362" t="s">
        <v>543</v>
      </c>
      <c r="C155" s="363">
        <v>821</v>
      </c>
      <c r="D155" s="335"/>
      <c r="E155" s="364">
        <v>0.8</v>
      </c>
      <c r="F155" s="365">
        <v>0.6</v>
      </c>
      <c r="G155" s="365">
        <v>0.3</v>
      </c>
      <c r="H155" s="364">
        <v>0.8</v>
      </c>
      <c r="I155" s="363" t="s">
        <v>578</v>
      </c>
      <c r="J155" s="366"/>
      <c r="K155" s="336"/>
      <c r="L155" s="336"/>
      <c r="M155" s="336"/>
      <c r="N155" s="336"/>
      <c r="O155" s="336"/>
      <c r="P155" s="336"/>
      <c r="Q155" s="336"/>
      <c r="R155" s="336"/>
      <c r="S155" s="336"/>
      <c r="T155" s="336"/>
      <c r="U155" s="351"/>
      <c r="V155" s="352" t="s">
        <v>379</v>
      </c>
      <c r="W155" s="327">
        <v>1</v>
      </c>
      <c r="X155" s="328">
        <v>1.96</v>
      </c>
      <c r="Z155" s="48">
        <f t="shared" si="16"/>
        <v>1.96</v>
      </c>
      <c r="AA155" s="48" t="str">
        <f t="shared" si="17"/>
        <v>-</v>
      </c>
      <c r="AB155" s="48" t="str">
        <f t="shared" si="18"/>
        <v>-</v>
      </c>
      <c r="AC155" s="48" t="str">
        <f t="shared" si="19"/>
        <v>-</v>
      </c>
      <c r="AD155" s="48" t="str">
        <f t="shared" si="20"/>
        <v>-</v>
      </c>
      <c r="AE155" s="48" t="str">
        <f t="shared" si="21"/>
        <v>-</v>
      </c>
      <c r="AF155" s="48" t="str">
        <f t="shared" si="22"/>
        <v>-</v>
      </c>
      <c r="AG155" s="48" t="str">
        <f t="shared" si="23"/>
        <v>-</v>
      </c>
    </row>
    <row r="156" spans="1:33" ht="15" thickBot="1" x14ac:dyDescent="0.35">
      <c r="A156" s="574"/>
      <c r="B156" s="346" t="s">
        <v>543</v>
      </c>
      <c r="C156" s="347">
        <v>105</v>
      </c>
      <c r="D156" s="335"/>
      <c r="E156" s="348">
        <v>0.8</v>
      </c>
      <c r="F156" s="349">
        <v>0.6</v>
      </c>
      <c r="G156" s="349">
        <v>0.3</v>
      </c>
      <c r="H156" s="348">
        <v>0.8</v>
      </c>
      <c r="I156" s="347" t="s">
        <v>578</v>
      </c>
      <c r="J156" s="350"/>
      <c r="K156" s="336"/>
      <c r="L156" s="336"/>
      <c r="M156" s="336"/>
      <c r="N156" s="336"/>
      <c r="O156" s="336"/>
      <c r="P156" s="336"/>
      <c r="Q156" s="336"/>
      <c r="R156" s="336"/>
      <c r="S156" s="336"/>
      <c r="T156" s="336"/>
      <c r="U156" s="351"/>
      <c r="V156" s="352" t="s">
        <v>379</v>
      </c>
      <c r="W156" s="323">
        <v>1</v>
      </c>
      <c r="X156" s="324">
        <v>1.93</v>
      </c>
      <c r="Z156" s="48">
        <f t="shared" si="16"/>
        <v>1.93</v>
      </c>
      <c r="AA156" s="48" t="str">
        <f t="shared" si="17"/>
        <v>-</v>
      </c>
      <c r="AB156" s="48" t="str">
        <f t="shared" si="18"/>
        <v>-</v>
      </c>
      <c r="AC156" s="48" t="str">
        <f t="shared" si="19"/>
        <v>-</v>
      </c>
      <c r="AD156" s="48" t="str">
        <f t="shared" si="20"/>
        <v>-</v>
      </c>
      <c r="AE156" s="48" t="str">
        <f t="shared" si="21"/>
        <v>-</v>
      </c>
      <c r="AF156" s="48" t="str">
        <f t="shared" si="22"/>
        <v>-</v>
      </c>
      <c r="AG156" s="48" t="str">
        <f t="shared" si="23"/>
        <v>-</v>
      </c>
    </row>
    <row r="157" spans="1:33" ht="15" thickBot="1" x14ac:dyDescent="0.35">
      <c r="A157" s="574"/>
      <c r="B157" s="346" t="s">
        <v>543</v>
      </c>
      <c r="C157" s="347">
        <v>115</v>
      </c>
      <c r="D157" s="335"/>
      <c r="E157" s="348">
        <v>0.8</v>
      </c>
      <c r="F157" s="349">
        <v>0.6</v>
      </c>
      <c r="G157" s="349">
        <v>0.3</v>
      </c>
      <c r="H157" s="348">
        <v>0.8</v>
      </c>
      <c r="I157" s="347" t="s">
        <v>578</v>
      </c>
      <c r="J157" s="350"/>
      <c r="K157" s="336"/>
      <c r="L157" s="336"/>
      <c r="M157" s="336"/>
      <c r="N157" s="336"/>
      <c r="O157" s="336"/>
      <c r="P157" s="336"/>
      <c r="Q157" s="336"/>
      <c r="R157" s="336"/>
      <c r="S157" s="336"/>
      <c r="T157" s="336"/>
      <c r="U157" s="351"/>
      <c r="V157" s="352" t="s">
        <v>379</v>
      </c>
      <c r="W157" s="323">
        <v>1</v>
      </c>
      <c r="X157" s="324">
        <v>1.79</v>
      </c>
      <c r="Z157" s="48">
        <f t="shared" si="16"/>
        <v>1.79</v>
      </c>
      <c r="AA157" s="48" t="str">
        <f t="shared" si="17"/>
        <v>-</v>
      </c>
      <c r="AB157" s="48" t="str">
        <f t="shared" si="18"/>
        <v>-</v>
      </c>
      <c r="AC157" s="48" t="str">
        <f t="shared" si="19"/>
        <v>-</v>
      </c>
      <c r="AD157" s="48" t="str">
        <f t="shared" si="20"/>
        <v>-</v>
      </c>
      <c r="AE157" s="48" t="str">
        <f t="shared" si="21"/>
        <v>-</v>
      </c>
      <c r="AF157" s="48" t="str">
        <f t="shared" si="22"/>
        <v>-</v>
      </c>
      <c r="AG157" s="48" t="str">
        <f t="shared" si="23"/>
        <v>-</v>
      </c>
    </row>
    <row r="158" spans="1:33" ht="15" thickBot="1" x14ac:dyDescent="0.35">
      <c r="A158" s="574"/>
      <c r="B158" s="346" t="s">
        <v>543</v>
      </c>
      <c r="C158" s="347">
        <v>125</v>
      </c>
      <c r="D158" s="335"/>
      <c r="E158" s="348">
        <v>0.8</v>
      </c>
      <c r="F158" s="349">
        <v>0.6</v>
      </c>
      <c r="G158" s="349">
        <v>0.3</v>
      </c>
      <c r="H158" s="348">
        <v>0.8</v>
      </c>
      <c r="I158" s="347" t="s">
        <v>578</v>
      </c>
      <c r="J158" s="350"/>
      <c r="K158" s="336"/>
      <c r="L158" s="336"/>
      <c r="M158" s="336"/>
      <c r="N158" s="336"/>
      <c r="O158" s="336"/>
      <c r="P158" s="336"/>
      <c r="Q158" s="336"/>
      <c r="R158" s="336"/>
      <c r="S158" s="336"/>
      <c r="T158" s="336"/>
      <c r="U158" s="351"/>
      <c r="V158" s="352" t="s">
        <v>379</v>
      </c>
      <c r="W158" s="323">
        <v>1</v>
      </c>
      <c r="X158" s="324">
        <v>1.89</v>
      </c>
      <c r="Z158" s="48">
        <f t="shared" si="16"/>
        <v>1.89</v>
      </c>
      <c r="AA158" s="48" t="str">
        <f t="shared" si="17"/>
        <v>-</v>
      </c>
      <c r="AB158" s="48" t="str">
        <f t="shared" si="18"/>
        <v>-</v>
      </c>
      <c r="AC158" s="48" t="str">
        <f t="shared" si="19"/>
        <v>-</v>
      </c>
      <c r="AD158" s="48" t="str">
        <f t="shared" si="20"/>
        <v>-</v>
      </c>
      <c r="AE158" s="48" t="str">
        <f t="shared" si="21"/>
        <v>-</v>
      </c>
      <c r="AF158" s="48" t="str">
        <f t="shared" si="22"/>
        <v>-</v>
      </c>
      <c r="AG158" s="48" t="str">
        <f t="shared" si="23"/>
        <v>-</v>
      </c>
    </row>
    <row r="159" spans="1:33" ht="15" thickBot="1" x14ac:dyDescent="0.35">
      <c r="A159" s="574"/>
      <c r="B159" s="346" t="s">
        <v>543</v>
      </c>
      <c r="C159" s="347">
        <v>135</v>
      </c>
      <c r="D159" s="335"/>
      <c r="E159" s="348">
        <v>0.8</v>
      </c>
      <c r="F159" s="349">
        <v>0.6</v>
      </c>
      <c r="G159" s="349">
        <v>0.3</v>
      </c>
      <c r="H159" s="348">
        <v>0.8</v>
      </c>
      <c r="I159" s="347" t="s">
        <v>578</v>
      </c>
      <c r="J159" s="350"/>
      <c r="K159" s="336"/>
      <c r="L159" s="336"/>
      <c r="M159" s="336"/>
      <c r="N159" s="336"/>
      <c r="O159" s="336"/>
      <c r="P159" s="336"/>
      <c r="Q159" s="336"/>
      <c r="R159" s="336"/>
      <c r="S159" s="336"/>
      <c r="T159" s="336"/>
      <c r="U159" s="351"/>
      <c r="V159" s="352" t="s">
        <v>379</v>
      </c>
      <c r="W159" s="323">
        <v>1</v>
      </c>
      <c r="X159" s="324">
        <v>1.87</v>
      </c>
      <c r="Z159" s="48">
        <f t="shared" si="16"/>
        <v>1.87</v>
      </c>
      <c r="AA159" s="48" t="str">
        <f t="shared" si="17"/>
        <v>-</v>
      </c>
      <c r="AB159" s="48" t="str">
        <f t="shared" si="18"/>
        <v>-</v>
      </c>
      <c r="AC159" s="48" t="str">
        <f t="shared" si="19"/>
        <v>-</v>
      </c>
      <c r="AD159" s="48" t="str">
        <f t="shared" si="20"/>
        <v>-</v>
      </c>
      <c r="AE159" s="48" t="str">
        <f t="shared" si="21"/>
        <v>-</v>
      </c>
      <c r="AF159" s="48" t="str">
        <f t="shared" si="22"/>
        <v>-</v>
      </c>
      <c r="AG159" s="48" t="str">
        <f t="shared" si="23"/>
        <v>-</v>
      </c>
    </row>
    <row r="160" spans="1:33" ht="15" thickBot="1" x14ac:dyDescent="0.35">
      <c r="A160" s="574"/>
      <c r="B160" s="346" t="s">
        <v>543</v>
      </c>
      <c r="C160" s="347">
        <v>145</v>
      </c>
      <c r="D160" s="335"/>
      <c r="E160" s="348">
        <v>0.8</v>
      </c>
      <c r="F160" s="349">
        <v>0.6</v>
      </c>
      <c r="G160" s="349">
        <v>0.3</v>
      </c>
      <c r="H160" s="348">
        <v>0.8</v>
      </c>
      <c r="I160" s="347" t="s">
        <v>578</v>
      </c>
      <c r="J160" s="350"/>
      <c r="K160" s="336"/>
      <c r="L160" s="336"/>
      <c r="M160" s="336"/>
      <c r="N160" s="336"/>
      <c r="O160" s="336"/>
      <c r="P160" s="336"/>
      <c r="Q160" s="336"/>
      <c r="R160" s="336"/>
      <c r="S160" s="336"/>
      <c r="T160" s="336"/>
      <c r="U160" s="351"/>
      <c r="V160" s="352" t="s">
        <v>379</v>
      </c>
      <c r="W160" s="323">
        <v>1</v>
      </c>
      <c r="X160" s="324">
        <v>1.88</v>
      </c>
      <c r="Z160" s="48">
        <f t="shared" si="16"/>
        <v>1.88</v>
      </c>
      <c r="AA160" s="48" t="str">
        <f t="shared" si="17"/>
        <v>-</v>
      </c>
      <c r="AB160" s="48" t="str">
        <f t="shared" si="18"/>
        <v>-</v>
      </c>
      <c r="AC160" s="48" t="str">
        <f t="shared" si="19"/>
        <v>-</v>
      </c>
      <c r="AD160" s="48" t="str">
        <f t="shared" si="20"/>
        <v>-</v>
      </c>
      <c r="AE160" s="48" t="str">
        <f t="shared" si="21"/>
        <v>-</v>
      </c>
      <c r="AF160" s="48" t="str">
        <f t="shared" si="22"/>
        <v>-</v>
      </c>
      <c r="AG160" s="48" t="str">
        <f t="shared" si="23"/>
        <v>-</v>
      </c>
    </row>
    <row r="161" spans="1:33" ht="15" thickBot="1" x14ac:dyDescent="0.35">
      <c r="A161" s="574"/>
      <c r="B161" s="346" t="s">
        <v>543</v>
      </c>
      <c r="C161" s="347">
        <v>155</v>
      </c>
      <c r="D161" s="335"/>
      <c r="E161" s="348">
        <v>0.8</v>
      </c>
      <c r="F161" s="349">
        <v>0.6</v>
      </c>
      <c r="G161" s="349">
        <v>0.3</v>
      </c>
      <c r="H161" s="348">
        <v>0.8</v>
      </c>
      <c r="I161" s="347" t="s">
        <v>578</v>
      </c>
      <c r="J161" s="350"/>
      <c r="K161" s="336"/>
      <c r="L161" s="336"/>
      <c r="M161" s="336"/>
      <c r="N161" s="336"/>
      <c r="O161" s="336"/>
      <c r="P161" s="336"/>
      <c r="Q161" s="336"/>
      <c r="R161" s="336"/>
      <c r="S161" s="336"/>
      <c r="T161" s="336"/>
      <c r="U161" s="351"/>
      <c r="V161" s="352" t="s">
        <v>379</v>
      </c>
      <c r="W161" s="323">
        <v>1</v>
      </c>
      <c r="X161" s="324">
        <v>1.43</v>
      </c>
      <c r="Z161" s="48">
        <f t="shared" si="16"/>
        <v>1.43</v>
      </c>
      <c r="AA161" s="48" t="str">
        <f t="shared" si="17"/>
        <v>-</v>
      </c>
      <c r="AB161" s="48" t="str">
        <f t="shared" si="18"/>
        <v>-</v>
      </c>
      <c r="AC161" s="48" t="str">
        <f t="shared" si="19"/>
        <v>-</v>
      </c>
      <c r="AD161" s="48" t="str">
        <f t="shared" si="20"/>
        <v>-</v>
      </c>
      <c r="AE161" s="48" t="str">
        <f t="shared" si="21"/>
        <v>-</v>
      </c>
      <c r="AF161" s="48" t="str">
        <f t="shared" si="22"/>
        <v>-</v>
      </c>
      <c r="AG161" s="48" t="str">
        <f t="shared" si="23"/>
        <v>-</v>
      </c>
    </row>
    <row r="162" spans="1:33" ht="15" thickBot="1" x14ac:dyDescent="0.35">
      <c r="A162" s="574"/>
      <c r="B162" s="346" t="s">
        <v>543</v>
      </c>
      <c r="C162" s="347">
        <v>165</v>
      </c>
      <c r="D162" s="335"/>
      <c r="E162" s="348">
        <v>0.8</v>
      </c>
      <c r="F162" s="349">
        <v>0.6</v>
      </c>
      <c r="G162" s="349">
        <v>0.3</v>
      </c>
      <c r="H162" s="348">
        <v>0.8</v>
      </c>
      <c r="I162" s="347" t="s">
        <v>578</v>
      </c>
      <c r="J162" s="350"/>
      <c r="K162" s="336"/>
      <c r="L162" s="336"/>
      <c r="M162" s="336"/>
      <c r="N162" s="336"/>
      <c r="O162" s="336"/>
      <c r="P162" s="336"/>
      <c r="Q162" s="336"/>
      <c r="R162" s="336"/>
      <c r="S162" s="336"/>
      <c r="T162" s="336"/>
      <c r="U162" s="351"/>
      <c r="V162" s="352" t="s">
        <v>379</v>
      </c>
      <c r="W162" s="323">
        <v>1</v>
      </c>
      <c r="X162" s="324">
        <v>1.43</v>
      </c>
      <c r="Z162" s="48">
        <f t="shared" si="16"/>
        <v>1.43</v>
      </c>
      <c r="AA162" s="48" t="str">
        <f t="shared" si="17"/>
        <v>-</v>
      </c>
      <c r="AB162" s="48" t="str">
        <f t="shared" si="18"/>
        <v>-</v>
      </c>
      <c r="AC162" s="48" t="str">
        <f t="shared" si="19"/>
        <v>-</v>
      </c>
      <c r="AD162" s="48" t="str">
        <f t="shared" si="20"/>
        <v>-</v>
      </c>
      <c r="AE162" s="48" t="str">
        <f t="shared" si="21"/>
        <v>-</v>
      </c>
      <c r="AF162" s="48" t="str">
        <f t="shared" si="22"/>
        <v>-</v>
      </c>
      <c r="AG162" s="48" t="str">
        <f t="shared" si="23"/>
        <v>-</v>
      </c>
    </row>
    <row r="163" spans="1:33" ht="15" thickBot="1" x14ac:dyDescent="0.35">
      <c r="A163" s="574"/>
      <c r="B163" s="346" t="s">
        <v>543</v>
      </c>
      <c r="C163" s="347">
        <v>175</v>
      </c>
      <c r="D163" s="335"/>
      <c r="E163" s="348">
        <v>0.8</v>
      </c>
      <c r="F163" s="349">
        <v>0.6</v>
      </c>
      <c r="G163" s="349">
        <v>0.3</v>
      </c>
      <c r="H163" s="348">
        <v>0.8</v>
      </c>
      <c r="I163" s="347" t="s">
        <v>578</v>
      </c>
      <c r="J163" s="350"/>
      <c r="K163" s="336"/>
      <c r="L163" s="336"/>
      <c r="M163" s="336"/>
      <c r="N163" s="336"/>
      <c r="O163" s="336"/>
      <c r="P163" s="336"/>
      <c r="Q163" s="336"/>
      <c r="R163" s="336"/>
      <c r="S163" s="336"/>
      <c r="T163" s="336"/>
      <c r="U163" s="351"/>
      <c r="V163" s="352" t="s">
        <v>379</v>
      </c>
      <c r="W163" s="323">
        <v>1</v>
      </c>
      <c r="X163" s="324">
        <v>1.42</v>
      </c>
      <c r="Z163" s="48">
        <f t="shared" si="16"/>
        <v>1.42</v>
      </c>
      <c r="AA163" s="48" t="str">
        <f t="shared" si="17"/>
        <v>-</v>
      </c>
      <c r="AB163" s="48" t="str">
        <f t="shared" si="18"/>
        <v>-</v>
      </c>
      <c r="AC163" s="48" t="str">
        <f t="shared" si="19"/>
        <v>-</v>
      </c>
      <c r="AD163" s="48" t="str">
        <f t="shared" si="20"/>
        <v>-</v>
      </c>
      <c r="AE163" s="48" t="str">
        <f t="shared" si="21"/>
        <v>-</v>
      </c>
      <c r="AF163" s="48" t="str">
        <f t="shared" si="22"/>
        <v>-</v>
      </c>
      <c r="AG163" s="48" t="str">
        <f t="shared" si="23"/>
        <v>-</v>
      </c>
    </row>
    <row r="164" spans="1:33" ht="15" thickBot="1" x14ac:dyDescent="0.35">
      <c r="A164" s="574"/>
      <c r="B164" s="346" t="s">
        <v>543</v>
      </c>
      <c r="C164" s="347">
        <v>185</v>
      </c>
      <c r="D164" s="335"/>
      <c r="E164" s="348">
        <v>0.8</v>
      </c>
      <c r="F164" s="349">
        <v>0.6</v>
      </c>
      <c r="G164" s="349">
        <v>0.3</v>
      </c>
      <c r="H164" s="348">
        <v>0.8</v>
      </c>
      <c r="I164" s="347" t="s">
        <v>578</v>
      </c>
      <c r="J164" s="350"/>
      <c r="K164" s="336"/>
      <c r="L164" s="336"/>
      <c r="M164" s="336"/>
      <c r="N164" s="336"/>
      <c r="O164" s="336"/>
      <c r="P164" s="336"/>
      <c r="Q164" s="336"/>
      <c r="R164" s="336"/>
      <c r="S164" s="336"/>
      <c r="T164" s="336"/>
      <c r="U164" s="351"/>
      <c r="V164" s="352" t="s">
        <v>379</v>
      </c>
      <c r="W164" s="323">
        <v>1</v>
      </c>
      <c r="X164" s="324">
        <v>1.42</v>
      </c>
      <c r="Z164" s="48">
        <f t="shared" si="16"/>
        <v>1.42</v>
      </c>
      <c r="AA164" s="48" t="str">
        <f t="shared" si="17"/>
        <v>-</v>
      </c>
      <c r="AB164" s="48" t="str">
        <f t="shared" si="18"/>
        <v>-</v>
      </c>
      <c r="AC164" s="48" t="str">
        <f t="shared" si="19"/>
        <v>-</v>
      </c>
      <c r="AD164" s="48" t="str">
        <f t="shared" si="20"/>
        <v>-</v>
      </c>
      <c r="AE164" s="48" t="str">
        <f t="shared" si="21"/>
        <v>-</v>
      </c>
      <c r="AF164" s="48" t="str">
        <f t="shared" si="22"/>
        <v>-</v>
      </c>
      <c r="AG164" s="48" t="str">
        <f t="shared" si="23"/>
        <v>-</v>
      </c>
    </row>
    <row r="165" spans="1:33" ht="15" thickBot="1" x14ac:dyDescent="0.35">
      <c r="A165" s="574"/>
      <c r="B165" s="346" t="s">
        <v>543</v>
      </c>
      <c r="C165" s="347">
        <v>195</v>
      </c>
      <c r="D165" s="335"/>
      <c r="E165" s="348">
        <v>0.8</v>
      </c>
      <c r="F165" s="349">
        <v>0.6</v>
      </c>
      <c r="G165" s="349">
        <v>0.3</v>
      </c>
      <c r="H165" s="348">
        <v>0.8</v>
      </c>
      <c r="I165" s="347" t="s">
        <v>578</v>
      </c>
      <c r="J165" s="350"/>
      <c r="K165" s="336"/>
      <c r="L165" s="336"/>
      <c r="M165" s="336"/>
      <c r="N165" s="336"/>
      <c r="O165" s="336"/>
      <c r="P165" s="336"/>
      <c r="Q165" s="336"/>
      <c r="R165" s="336"/>
      <c r="S165" s="336"/>
      <c r="T165" s="336"/>
      <c r="U165" s="351"/>
      <c r="V165" s="352" t="s">
        <v>379</v>
      </c>
      <c r="W165" s="323">
        <v>1</v>
      </c>
      <c r="X165" s="324">
        <v>1.41</v>
      </c>
      <c r="Z165" s="48">
        <f t="shared" si="16"/>
        <v>1.41</v>
      </c>
      <c r="AA165" s="48" t="str">
        <f t="shared" si="17"/>
        <v>-</v>
      </c>
      <c r="AB165" s="48" t="str">
        <f t="shared" si="18"/>
        <v>-</v>
      </c>
      <c r="AC165" s="48" t="str">
        <f t="shared" si="19"/>
        <v>-</v>
      </c>
      <c r="AD165" s="48" t="str">
        <f t="shared" si="20"/>
        <v>-</v>
      </c>
      <c r="AE165" s="48" t="str">
        <f t="shared" si="21"/>
        <v>-</v>
      </c>
      <c r="AF165" s="48" t="str">
        <f t="shared" si="22"/>
        <v>-</v>
      </c>
      <c r="AG165" s="48" t="str">
        <f t="shared" si="23"/>
        <v>-</v>
      </c>
    </row>
    <row r="166" spans="1:33" ht="15" thickBot="1" x14ac:dyDescent="0.35">
      <c r="A166" s="574"/>
      <c r="B166" s="346" t="s">
        <v>545</v>
      </c>
      <c r="C166" s="347">
        <v>809</v>
      </c>
      <c r="D166" s="335"/>
      <c r="E166" s="348">
        <v>0.8</v>
      </c>
      <c r="F166" s="349">
        <v>0.6</v>
      </c>
      <c r="G166" s="349">
        <v>0.3</v>
      </c>
      <c r="H166" s="348">
        <v>0.8</v>
      </c>
      <c r="I166" s="347" t="s">
        <v>578</v>
      </c>
      <c r="J166" s="350"/>
      <c r="K166" s="336"/>
      <c r="L166" s="336"/>
      <c r="M166" s="336"/>
      <c r="N166" s="336"/>
      <c r="O166" s="336"/>
      <c r="P166" s="336"/>
      <c r="Q166" s="336"/>
      <c r="R166" s="336"/>
      <c r="S166" s="336"/>
      <c r="T166" s="336"/>
      <c r="U166" s="351"/>
      <c r="V166" s="352" t="s">
        <v>379</v>
      </c>
      <c r="W166" s="323"/>
      <c r="X166" s="324">
        <v>9.6999999999999993</v>
      </c>
      <c r="Z166" s="48">
        <f t="shared" si="16"/>
        <v>9.6999999999999993</v>
      </c>
      <c r="AA166" s="48" t="str">
        <f t="shared" si="17"/>
        <v>-</v>
      </c>
      <c r="AB166" s="48" t="str">
        <f t="shared" si="18"/>
        <v>-</v>
      </c>
      <c r="AC166" s="48" t="str">
        <f t="shared" si="19"/>
        <v>-</v>
      </c>
      <c r="AD166" s="48" t="str">
        <f t="shared" si="20"/>
        <v>-</v>
      </c>
      <c r="AE166" s="48" t="str">
        <f t="shared" si="21"/>
        <v>-</v>
      </c>
      <c r="AF166" s="48" t="str">
        <f t="shared" si="22"/>
        <v>-</v>
      </c>
      <c r="AG166" s="48" t="str">
        <f t="shared" si="23"/>
        <v>-</v>
      </c>
    </row>
    <row r="167" spans="1:33" ht="15" thickBot="1" x14ac:dyDescent="0.35">
      <c r="A167" s="574"/>
      <c r="B167" s="346" t="s">
        <v>545</v>
      </c>
      <c r="C167" s="347">
        <v>116</v>
      </c>
      <c r="D167" s="335"/>
      <c r="E167" s="348">
        <v>0.8</v>
      </c>
      <c r="F167" s="349">
        <v>0.6</v>
      </c>
      <c r="G167" s="349">
        <v>0.3</v>
      </c>
      <c r="H167" s="348">
        <v>0.8</v>
      </c>
      <c r="I167" s="347" t="s">
        <v>578</v>
      </c>
      <c r="J167" s="350"/>
      <c r="K167" s="336"/>
      <c r="L167" s="336"/>
      <c r="M167" s="336"/>
      <c r="N167" s="336"/>
      <c r="O167" s="336"/>
      <c r="P167" s="336"/>
      <c r="Q167" s="336"/>
      <c r="R167" s="336"/>
      <c r="S167" s="336"/>
      <c r="T167" s="336"/>
      <c r="U167" s="351"/>
      <c r="V167" s="352" t="s">
        <v>379</v>
      </c>
      <c r="W167" s="323"/>
      <c r="X167" s="324">
        <v>9.02</v>
      </c>
      <c r="Z167" s="48">
        <f t="shared" si="16"/>
        <v>9.02</v>
      </c>
      <c r="AA167" s="48" t="str">
        <f t="shared" si="17"/>
        <v>-</v>
      </c>
      <c r="AB167" s="48" t="str">
        <f t="shared" si="18"/>
        <v>-</v>
      </c>
      <c r="AC167" s="48" t="str">
        <f t="shared" si="19"/>
        <v>-</v>
      </c>
      <c r="AD167" s="48" t="str">
        <f t="shared" si="20"/>
        <v>-</v>
      </c>
      <c r="AE167" s="48" t="str">
        <f t="shared" si="21"/>
        <v>-</v>
      </c>
      <c r="AF167" s="48" t="str">
        <f t="shared" si="22"/>
        <v>-</v>
      </c>
      <c r="AG167" s="48" t="str">
        <f t="shared" si="23"/>
        <v>-</v>
      </c>
    </row>
    <row r="168" spans="1:33" ht="15" thickBot="1" x14ac:dyDescent="0.35">
      <c r="A168" s="574"/>
      <c r="B168" s="346" t="s">
        <v>545</v>
      </c>
      <c r="C168" s="347">
        <v>126</v>
      </c>
      <c r="D168" s="335"/>
      <c r="E168" s="348">
        <v>0.8</v>
      </c>
      <c r="F168" s="349">
        <v>0.6</v>
      </c>
      <c r="G168" s="349">
        <v>0.3</v>
      </c>
      <c r="H168" s="348">
        <v>0.8</v>
      </c>
      <c r="I168" s="347" t="s">
        <v>578</v>
      </c>
      <c r="J168" s="350"/>
      <c r="K168" s="336"/>
      <c r="L168" s="336"/>
      <c r="M168" s="336"/>
      <c r="N168" s="336"/>
      <c r="O168" s="336"/>
      <c r="P168" s="336"/>
      <c r="Q168" s="336"/>
      <c r="R168" s="336"/>
      <c r="S168" s="336"/>
      <c r="T168" s="336"/>
      <c r="U168" s="351"/>
      <c r="V168" s="352" t="s">
        <v>379</v>
      </c>
      <c r="W168" s="323"/>
      <c r="X168" s="324">
        <v>9.61</v>
      </c>
      <c r="Z168" s="48">
        <f t="shared" si="16"/>
        <v>9.61</v>
      </c>
      <c r="AA168" s="48" t="str">
        <f t="shared" si="17"/>
        <v>-</v>
      </c>
      <c r="AB168" s="48" t="str">
        <f t="shared" si="18"/>
        <v>-</v>
      </c>
      <c r="AC168" s="48" t="str">
        <f t="shared" si="19"/>
        <v>-</v>
      </c>
      <c r="AD168" s="48" t="str">
        <f t="shared" si="20"/>
        <v>-</v>
      </c>
      <c r="AE168" s="48" t="str">
        <f t="shared" si="21"/>
        <v>-</v>
      </c>
      <c r="AF168" s="48" t="str">
        <f t="shared" si="22"/>
        <v>-</v>
      </c>
      <c r="AG168" s="48" t="str">
        <f t="shared" si="23"/>
        <v>-</v>
      </c>
    </row>
    <row r="169" spans="1:33" ht="15" thickBot="1" x14ac:dyDescent="0.35">
      <c r="A169" s="574"/>
      <c r="B169" s="346" t="s">
        <v>545</v>
      </c>
      <c r="C169" s="347">
        <v>136</v>
      </c>
      <c r="D169" s="335"/>
      <c r="E169" s="348">
        <v>0.8</v>
      </c>
      <c r="F169" s="349">
        <v>0.6</v>
      </c>
      <c r="G169" s="349">
        <v>0.3</v>
      </c>
      <c r="H169" s="348">
        <v>0.8</v>
      </c>
      <c r="I169" s="347" t="s">
        <v>578</v>
      </c>
      <c r="J169" s="350"/>
      <c r="K169" s="336"/>
      <c r="L169" s="336"/>
      <c r="M169" s="336"/>
      <c r="N169" s="336"/>
      <c r="O169" s="336"/>
      <c r="P169" s="336"/>
      <c r="Q169" s="336"/>
      <c r="R169" s="336"/>
      <c r="S169" s="336"/>
      <c r="T169" s="336"/>
      <c r="U169" s="351"/>
      <c r="V169" s="352" t="s">
        <v>379</v>
      </c>
      <c r="W169" s="323"/>
      <c r="X169" s="324">
        <v>9.82</v>
      </c>
      <c r="Z169" s="48">
        <f t="shared" si="16"/>
        <v>9.82</v>
      </c>
      <c r="AA169" s="48" t="str">
        <f t="shared" si="17"/>
        <v>-</v>
      </c>
      <c r="AB169" s="48" t="str">
        <f t="shared" si="18"/>
        <v>-</v>
      </c>
      <c r="AC169" s="48" t="str">
        <f t="shared" si="19"/>
        <v>-</v>
      </c>
      <c r="AD169" s="48" t="str">
        <f t="shared" si="20"/>
        <v>-</v>
      </c>
      <c r="AE169" s="48" t="str">
        <f t="shared" si="21"/>
        <v>-</v>
      </c>
      <c r="AF169" s="48" t="str">
        <f t="shared" si="22"/>
        <v>-</v>
      </c>
      <c r="AG169" s="48" t="str">
        <f t="shared" si="23"/>
        <v>-</v>
      </c>
    </row>
    <row r="170" spans="1:33" ht="15" thickBot="1" x14ac:dyDescent="0.35">
      <c r="A170" s="574"/>
      <c r="B170" s="346" t="s">
        <v>545</v>
      </c>
      <c r="C170" s="347">
        <v>146</v>
      </c>
      <c r="D170" s="335"/>
      <c r="E170" s="348">
        <v>0.8</v>
      </c>
      <c r="F170" s="349">
        <v>0.6</v>
      </c>
      <c r="G170" s="349">
        <v>0.3</v>
      </c>
      <c r="H170" s="348">
        <v>0.8</v>
      </c>
      <c r="I170" s="347" t="s">
        <v>578</v>
      </c>
      <c r="J170" s="350"/>
      <c r="K170" s="336"/>
      <c r="L170" s="336"/>
      <c r="M170" s="336"/>
      <c r="N170" s="336"/>
      <c r="O170" s="336"/>
      <c r="P170" s="336"/>
      <c r="Q170" s="336"/>
      <c r="R170" s="336"/>
      <c r="S170" s="336"/>
      <c r="T170" s="336"/>
      <c r="U170" s="351"/>
      <c r="V170" s="352" t="s">
        <v>379</v>
      </c>
      <c r="W170" s="323"/>
      <c r="X170" s="324">
        <v>9.86</v>
      </c>
      <c r="Z170" s="48">
        <f t="shared" si="16"/>
        <v>9.86</v>
      </c>
      <c r="AA170" s="48" t="str">
        <f t="shared" si="17"/>
        <v>-</v>
      </c>
      <c r="AB170" s="48" t="str">
        <f t="shared" si="18"/>
        <v>-</v>
      </c>
      <c r="AC170" s="48" t="str">
        <f t="shared" si="19"/>
        <v>-</v>
      </c>
      <c r="AD170" s="48" t="str">
        <f t="shared" si="20"/>
        <v>-</v>
      </c>
      <c r="AE170" s="48" t="str">
        <f t="shared" si="21"/>
        <v>-</v>
      </c>
      <c r="AF170" s="48" t="str">
        <f t="shared" si="22"/>
        <v>-</v>
      </c>
      <c r="AG170" s="48" t="str">
        <f t="shared" si="23"/>
        <v>-</v>
      </c>
    </row>
    <row r="171" spans="1:33" ht="15" thickBot="1" x14ac:dyDescent="0.35">
      <c r="A171" s="574"/>
      <c r="B171" s="346" t="s">
        <v>545</v>
      </c>
      <c r="C171" s="347">
        <v>156</v>
      </c>
      <c r="D171" s="335"/>
      <c r="E171" s="348">
        <v>0.8</v>
      </c>
      <c r="F171" s="349">
        <v>0.6</v>
      </c>
      <c r="G171" s="349">
        <v>0.3</v>
      </c>
      <c r="H171" s="348">
        <v>0.8</v>
      </c>
      <c r="I171" s="347" t="s">
        <v>578</v>
      </c>
      <c r="J171" s="350"/>
      <c r="K171" s="336"/>
      <c r="L171" s="336"/>
      <c r="M171" s="336"/>
      <c r="N171" s="336"/>
      <c r="O171" s="336"/>
      <c r="P171" s="336"/>
      <c r="Q171" s="336"/>
      <c r="R171" s="336"/>
      <c r="S171" s="336"/>
      <c r="T171" s="336"/>
      <c r="U171" s="351"/>
      <c r="V171" s="352" t="s">
        <v>379</v>
      </c>
      <c r="W171" s="323"/>
      <c r="X171" s="324">
        <v>9.86</v>
      </c>
      <c r="Z171" s="48">
        <f t="shared" si="16"/>
        <v>9.86</v>
      </c>
      <c r="AA171" s="48" t="str">
        <f t="shared" si="17"/>
        <v>-</v>
      </c>
      <c r="AB171" s="48" t="str">
        <f t="shared" si="18"/>
        <v>-</v>
      </c>
      <c r="AC171" s="48" t="str">
        <f t="shared" si="19"/>
        <v>-</v>
      </c>
      <c r="AD171" s="48" t="str">
        <f t="shared" si="20"/>
        <v>-</v>
      </c>
      <c r="AE171" s="48" t="str">
        <f t="shared" si="21"/>
        <v>-</v>
      </c>
      <c r="AF171" s="48" t="str">
        <f t="shared" si="22"/>
        <v>-</v>
      </c>
      <c r="AG171" s="48" t="str">
        <f t="shared" si="23"/>
        <v>-</v>
      </c>
    </row>
    <row r="172" spans="1:33" ht="15" thickBot="1" x14ac:dyDescent="0.35">
      <c r="A172" s="574"/>
      <c r="B172" s="346" t="s">
        <v>545</v>
      </c>
      <c r="C172" s="347">
        <v>166</v>
      </c>
      <c r="D172" s="335"/>
      <c r="E172" s="348">
        <v>0.8</v>
      </c>
      <c r="F172" s="349">
        <v>0.6</v>
      </c>
      <c r="G172" s="349">
        <v>0.3</v>
      </c>
      <c r="H172" s="348">
        <v>0.8</v>
      </c>
      <c r="I172" s="347" t="s">
        <v>578</v>
      </c>
      <c r="J172" s="350"/>
      <c r="K172" s="336"/>
      <c r="L172" s="336"/>
      <c r="M172" s="336"/>
      <c r="N172" s="336"/>
      <c r="O172" s="336"/>
      <c r="P172" s="336"/>
      <c r="Q172" s="336"/>
      <c r="R172" s="336"/>
      <c r="S172" s="336"/>
      <c r="T172" s="336"/>
      <c r="U172" s="351"/>
      <c r="V172" s="352" t="s">
        <v>379</v>
      </c>
      <c r="W172" s="323"/>
      <c r="X172" s="324">
        <v>9.8800000000000008</v>
      </c>
      <c r="Z172" s="48">
        <f t="shared" si="16"/>
        <v>9.8800000000000008</v>
      </c>
      <c r="AA172" s="48" t="str">
        <f t="shared" si="17"/>
        <v>-</v>
      </c>
      <c r="AB172" s="48" t="str">
        <f t="shared" si="18"/>
        <v>-</v>
      </c>
      <c r="AC172" s="48" t="str">
        <f t="shared" si="19"/>
        <v>-</v>
      </c>
      <c r="AD172" s="48" t="str">
        <f t="shared" si="20"/>
        <v>-</v>
      </c>
      <c r="AE172" s="48" t="str">
        <f t="shared" si="21"/>
        <v>-</v>
      </c>
      <c r="AF172" s="48" t="str">
        <f t="shared" si="22"/>
        <v>-</v>
      </c>
      <c r="AG172" s="48" t="str">
        <f t="shared" si="23"/>
        <v>-</v>
      </c>
    </row>
    <row r="173" spans="1:33" ht="15" thickBot="1" x14ac:dyDescent="0.35">
      <c r="A173" s="574"/>
      <c r="B173" s="346" t="s">
        <v>545</v>
      </c>
      <c r="C173" s="347">
        <v>176</v>
      </c>
      <c r="D173" s="335"/>
      <c r="E173" s="348">
        <v>0.8</v>
      </c>
      <c r="F173" s="349">
        <v>0.6</v>
      </c>
      <c r="G173" s="349">
        <v>0.3</v>
      </c>
      <c r="H173" s="348">
        <v>0.8</v>
      </c>
      <c r="I173" s="347" t="s">
        <v>578</v>
      </c>
      <c r="J173" s="350"/>
      <c r="K173" s="336"/>
      <c r="L173" s="336"/>
      <c r="M173" s="336"/>
      <c r="N173" s="336"/>
      <c r="O173" s="336"/>
      <c r="P173" s="336"/>
      <c r="Q173" s="336"/>
      <c r="R173" s="336"/>
      <c r="S173" s="336"/>
      <c r="T173" s="336"/>
      <c r="U173" s="351"/>
      <c r="V173" s="352" t="s">
        <v>379</v>
      </c>
      <c r="W173" s="323"/>
      <c r="X173" s="324">
        <v>9.8699999999999992</v>
      </c>
      <c r="Z173" s="48">
        <f t="shared" si="16"/>
        <v>9.8699999999999992</v>
      </c>
      <c r="AA173" s="48" t="str">
        <f t="shared" si="17"/>
        <v>-</v>
      </c>
      <c r="AB173" s="48" t="str">
        <f t="shared" si="18"/>
        <v>-</v>
      </c>
      <c r="AC173" s="48" t="str">
        <f t="shared" si="19"/>
        <v>-</v>
      </c>
      <c r="AD173" s="48" t="str">
        <f t="shared" si="20"/>
        <v>-</v>
      </c>
      <c r="AE173" s="48" t="str">
        <f t="shared" si="21"/>
        <v>-</v>
      </c>
      <c r="AF173" s="48" t="str">
        <f t="shared" si="22"/>
        <v>-</v>
      </c>
      <c r="AG173" s="48" t="str">
        <f t="shared" si="23"/>
        <v>-</v>
      </c>
    </row>
    <row r="174" spans="1:33" ht="15" thickBot="1" x14ac:dyDescent="0.35">
      <c r="A174" s="574"/>
      <c r="B174" s="346" t="s">
        <v>545</v>
      </c>
      <c r="C174" s="347">
        <v>186</v>
      </c>
      <c r="D174" s="335"/>
      <c r="E174" s="348">
        <v>0.8</v>
      </c>
      <c r="F174" s="349">
        <v>0.6</v>
      </c>
      <c r="G174" s="349">
        <v>0.3</v>
      </c>
      <c r="H174" s="348">
        <v>0.8</v>
      </c>
      <c r="I174" s="347" t="s">
        <v>578</v>
      </c>
      <c r="J174" s="350"/>
      <c r="K174" s="336"/>
      <c r="L174" s="336"/>
      <c r="M174" s="336"/>
      <c r="N174" s="336"/>
      <c r="O174" s="336"/>
      <c r="P174" s="336"/>
      <c r="Q174" s="336"/>
      <c r="R174" s="336"/>
      <c r="S174" s="336"/>
      <c r="T174" s="336"/>
      <c r="U174" s="351"/>
      <c r="V174" s="352" t="s">
        <v>379</v>
      </c>
      <c r="W174" s="323"/>
      <c r="X174" s="324">
        <v>9.8699999999999992</v>
      </c>
      <c r="Z174" s="48">
        <f t="shared" si="16"/>
        <v>9.8699999999999992</v>
      </c>
      <c r="AA174" s="48" t="str">
        <f t="shared" si="17"/>
        <v>-</v>
      </c>
      <c r="AB174" s="48" t="str">
        <f t="shared" si="18"/>
        <v>-</v>
      </c>
      <c r="AC174" s="48" t="str">
        <f t="shared" si="19"/>
        <v>-</v>
      </c>
      <c r="AD174" s="48" t="str">
        <f t="shared" si="20"/>
        <v>-</v>
      </c>
      <c r="AE174" s="48" t="str">
        <f t="shared" si="21"/>
        <v>-</v>
      </c>
      <c r="AF174" s="48" t="str">
        <f t="shared" si="22"/>
        <v>-</v>
      </c>
      <c r="AG174" s="48" t="str">
        <f t="shared" si="23"/>
        <v>-</v>
      </c>
    </row>
    <row r="175" spans="1:33" ht="15" thickBot="1" x14ac:dyDescent="0.35">
      <c r="A175" s="574"/>
      <c r="B175" s="346" t="s">
        <v>545</v>
      </c>
      <c r="C175" s="347">
        <v>196</v>
      </c>
      <c r="D175" s="335"/>
      <c r="E175" s="348">
        <v>0.8</v>
      </c>
      <c r="F175" s="349">
        <v>0.6</v>
      </c>
      <c r="G175" s="349">
        <v>0.3</v>
      </c>
      <c r="H175" s="348">
        <v>0.8</v>
      </c>
      <c r="I175" s="347" t="s">
        <v>578</v>
      </c>
      <c r="J175" s="350"/>
      <c r="K175" s="336"/>
      <c r="L175" s="336"/>
      <c r="M175" s="336"/>
      <c r="N175" s="336"/>
      <c r="O175" s="336"/>
      <c r="P175" s="336"/>
      <c r="Q175" s="336"/>
      <c r="R175" s="336"/>
      <c r="S175" s="336"/>
      <c r="T175" s="336"/>
      <c r="U175" s="351"/>
      <c r="V175" s="352" t="s">
        <v>379</v>
      </c>
      <c r="W175" s="323"/>
      <c r="X175" s="324">
        <v>9.8699999999999992</v>
      </c>
      <c r="Z175" s="48">
        <f t="shared" si="16"/>
        <v>9.8699999999999992</v>
      </c>
      <c r="AA175" s="48" t="str">
        <f t="shared" si="17"/>
        <v>-</v>
      </c>
      <c r="AB175" s="48" t="str">
        <f t="shared" si="18"/>
        <v>-</v>
      </c>
      <c r="AC175" s="48" t="str">
        <f t="shared" si="19"/>
        <v>-</v>
      </c>
      <c r="AD175" s="48" t="str">
        <f t="shared" si="20"/>
        <v>-</v>
      </c>
      <c r="AE175" s="48" t="str">
        <f t="shared" si="21"/>
        <v>-</v>
      </c>
      <c r="AF175" s="48" t="str">
        <f t="shared" si="22"/>
        <v>-</v>
      </c>
      <c r="AG175" s="48" t="str">
        <f t="shared" si="23"/>
        <v>-</v>
      </c>
    </row>
    <row r="176" spans="1:33" ht="15" thickBot="1" x14ac:dyDescent="0.35">
      <c r="A176" s="575"/>
      <c r="B176" s="367" t="s">
        <v>545</v>
      </c>
      <c r="C176" s="368">
        <v>218</v>
      </c>
      <c r="D176" s="335"/>
      <c r="E176" s="369">
        <v>0.8</v>
      </c>
      <c r="F176" s="370">
        <v>0.6</v>
      </c>
      <c r="G176" s="370">
        <v>0.3</v>
      </c>
      <c r="H176" s="369">
        <v>0.8</v>
      </c>
      <c r="I176" s="368" t="s">
        <v>578</v>
      </c>
      <c r="J176" s="371"/>
      <c r="K176" s="336"/>
      <c r="L176" s="336"/>
      <c r="M176" s="336"/>
      <c r="N176" s="336"/>
      <c r="O176" s="336"/>
      <c r="P176" s="336"/>
      <c r="Q176" s="336"/>
      <c r="R176" s="336"/>
      <c r="S176" s="336"/>
      <c r="T176" s="336"/>
      <c r="U176" s="351"/>
      <c r="V176" s="352" t="s">
        <v>379</v>
      </c>
      <c r="W176" s="329"/>
      <c r="X176" s="330">
        <v>9.75</v>
      </c>
      <c r="Z176" s="48">
        <f t="shared" si="16"/>
        <v>9.75</v>
      </c>
      <c r="AA176" s="48" t="str">
        <f t="shared" si="17"/>
        <v>-</v>
      </c>
      <c r="AB176" s="48" t="str">
        <f t="shared" si="18"/>
        <v>-</v>
      </c>
      <c r="AC176" s="48" t="str">
        <f t="shared" si="19"/>
        <v>-</v>
      </c>
      <c r="AD176" s="48" t="str">
        <f t="shared" si="20"/>
        <v>-</v>
      </c>
      <c r="AE176" s="48" t="str">
        <f t="shared" si="21"/>
        <v>-</v>
      </c>
      <c r="AF176" s="48" t="str">
        <f t="shared" si="22"/>
        <v>-</v>
      </c>
      <c r="AG176" s="48" t="str">
        <f t="shared" si="23"/>
        <v>-</v>
      </c>
    </row>
    <row r="177" spans="1:33" ht="15" thickBot="1" x14ac:dyDescent="0.35">
      <c r="A177" s="576" t="s">
        <v>0</v>
      </c>
      <c r="B177" s="337" t="s">
        <v>545</v>
      </c>
      <c r="C177" s="338">
        <v>807</v>
      </c>
      <c r="D177" s="339"/>
      <c r="E177" s="340">
        <v>0.8</v>
      </c>
      <c r="F177" s="341">
        <v>0.6</v>
      </c>
      <c r="G177" s="341">
        <v>0.3</v>
      </c>
      <c r="H177" s="340">
        <v>0.8</v>
      </c>
      <c r="I177" s="338" t="s">
        <v>578</v>
      </c>
      <c r="J177" s="342"/>
      <c r="K177" s="343"/>
      <c r="L177" s="343"/>
      <c r="M177" s="343"/>
      <c r="N177" s="343"/>
      <c r="O177" s="343"/>
      <c r="P177" s="343"/>
      <c r="Q177" s="343"/>
      <c r="R177" s="343"/>
      <c r="S177" s="343"/>
      <c r="T177" s="343"/>
      <c r="U177" s="344"/>
      <c r="V177" s="345" t="s">
        <v>379</v>
      </c>
      <c r="W177" s="321"/>
      <c r="X177" s="322">
        <v>8.5</v>
      </c>
      <c r="Z177" s="48">
        <f t="shared" si="16"/>
        <v>8.5</v>
      </c>
      <c r="AA177" s="48" t="str">
        <f t="shared" si="17"/>
        <v>-</v>
      </c>
      <c r="AB177" s="48" t="str">
        <f t="shared" si="18"/>
        <v>-</v>
      </c>
      <c r="AC177" s="48" t="str">
        <f t="shared" si="19"/>
        <v>-</v>
      </c>
      <c r="AD177" s="48" t="str">
        <f t="shared" si="20"/>
        <v>-</v>
      </c>
      <c r="AE177" s="48" t="str">
        <f t="shared" si="21"/>
        <v>-</v>
      </c>
      <c r="AF177" s="48" t="str">
        <f t="shared" si="22"/>
        <v>-</v>
      </c>
      <c r="AG177" s="48" t="str">
        <f t="shared" si="23"/>
        <v>-</v>
      </c>
    </row>
    <row r="178" spans="1:33" ht="15" thickBot="1" x14ac:dyDescent="0.35">
      <c r="A178" s="574"/>
      <c r="B178" s="346" t="s">
        <v>545</v>
      </c>
      <c r="C178" s="347">
        <v>111</v>
      </c>
      <c r="D178" s="335"/>
      <c r="E178" s="348">
        <v>0.8</v>
      </c>
      <c r="F178" s="349">
        <v>0.6</v>
      </c>
      <c r="G178" s="349">
        <v>0.3</v>
      </c>
      <c r="H178" s="348">
        <v>0.8</v>
      </c>
      <c r="I178" s="347" t="s">
        <v>578</v>
      </c>
      <c r="J178" s="350"/>
      <c r="K178" s="336"/>
      <c r="L178" s="336"/>
      <c r="M178" s="336"/>
      <c r="N178" s="336"/>
      <c r="O178" s="336"/>
      <c r="P178" s="336"/>
      <c r="Q178" s="336"/>
      <c r="R178" s="336"/>
      <c r="S178" s="336"/>
      <c r="T178" s="336"/>
      <c r="U178" s="351"/>
      <c r="V178" s="352" t="s">
        <v>379</v>
      </c>
      <c r="W178" s="323"/>
      <c r="X178" s="324">
        <v>8.43</v>
      </c>
      <c r="Z178" s="48">
        <f t="shared" si="16"/>
        <v>8.43</v>
      </c>
      <c r="AA178" s="48" t="str">
        <f t="shared" si="17"/>
        <v>-</v>
      </c>
      <c r="AB178" s="48" t="str">
        <f t="shared" si="18"/>
        <v>-</v>
      </c>
      <c r="AC178" s="48" t="str">
        <f t="shared" si="19"/>
        <v>-</v>
      </c>
      <c r="AD178" s="48" t="str">
        <f t="shared" si="20"/>
        <v>-</v>
      </c>
      <c r="AE178" s="48" t="str">
        <f t="shared" si="21"/>
        <v>-</v>
      </c>
      <c r="AF178" s="48" t="str">
        <f t="shared" si="22"/>
        <v>-</v>
      </c>
      <c r="AG178" s="48" t="str">
        <f t="shared" si="23"/>
        <v>-</v>
      </c>
    </row>
    <row r="179" spans="1:33" ht="15" thickBot="1" x14ac:dyDescent="0.35">
      <c r="A179" s="574"/>
      <c r="B179" s="346" t="s">
        <v>545</v>
      </c>
      <c r="C179" s="347">
        <v>129</v>
      </c>
      <c r="D179" s="335"/>
      <c r="E179" s="348">
        <v>0.8</v>
      </c>
      <c r="F179" s="349">
        <v>0.6</v>
      </c>
      <c r="G179" s="349">
        <v>0.3</v>
      </c>
      <c r="H179" s="348">
        <v>0.8</v>
      </c>
      <c r="I179" s="347" t="s">
        <v>578</v>
      </c>
      <c r="J179" s="350"/>
      <c r="K179" s="336"/>
      <c r="L179" s="336"/>
      <c r="M179" s="336"/>
      <c r="N179" s="336"/>
      <c r="O179" s="336"/>
      <c r="P179" s="336"/>
      <c r="Q179" s="336"/>
      <c r="R179" s="336"/>
      <c r="S179" s="336"/>
      <c r="T179" s="336"/>
      <c r="U179" s="351"/>
      <c r="V179" s="352" t="s">
        <v>379</v>
      </c>
      <c r="W179" s="323"/>
      <c r="X179" s="324">
        <v>8.36</v>
      </c>
      <c r="Z179" s="48">
        <f t="shared" si="16"/>
        <v>8.36</v>
      </c>
      <c r="AA179" s="48" t="str">
        <f t="shared" si="17"/>
        <v>-</v>
      </c>
      <c r="AB179" s="48" t="str">
        <f t="shared" si="18"/>
        <v>-</v>
      </c>
      <c r="AC179" s="48" t="str">
        <f t="shared" si="19"/>
        <v>-</v>
      </c>
      <c r="AD179" s="48" t="str">
        <f t="shared" si="20"/>
        <v>-</v>
      </c>
      <c r="AE179" s="48" t="str">
        <f t="shared" si="21"/>
        <v>-</v>
      </c>
      <c r="AF179" s="48" t="str">
        <f t="shared" si="22"/>
        <v>-</v>
      </c>
      <c r="AG179" s="48" t="str">
        <f t="shared" si="23"/>
        <v>-</v>
      </c>
    </row>
    <row r="180" spans="1:33" ht="15" thickBot="1" x14ac:dyDescent="0.35">
      <c r="A180" s="574"/>
      <c r="B180" s="346" t="s">
        <v>545</v>
      </c>
      <c r="C180" s="347">
        <v>135</v>
      </c>
      <c r="D180" s="335"/>
      <c r="E180" s="348">
        <v>0.8</v>
      </c>
      <c r="F180" s="349">
        <v>0.6</v>
      </c>
      <c r="G180" s="349">
        <v>0.3</v>
      </c>
      <c r="H180" s="348">
        <v>0.8</v>
      </c>
      <c r="I180" s="347" t="s">
        <v>578</v>
      </c>
      <c r="J180" s="350"/>
      <c r="K180" s="336"/>
      <c r="L180" s="336"/>
      <c r="M180" s="336"/>
      <c r="N180" s="336"/>
      <c r="O180" s="336"/>
      <c r="P180" s="336"/>
      <c r="Q180" s="336"/>
      <c r="R180" s="336"/>
      <c r="S180" s="336"/>
      <c r="T180" s="336"/>
      <c r="U180" s="351"/>
      <c r="V180" s="352" t="s">
        <v>379</v>
      </c>
      <c r="W180" s="323"/>
      <c r="X180" s="324">
        <v>8.2799999999999994</v>
      </c>
      <c r="Z180" s="48">
        <f t="shared" si="16"/>
        <v>8.2799999999999994</v>
      </c>
      <c r="AA180" s="48" t="str">
        <f t="shared" si="17"/>
        <v>-</v>
      </c>
      <c r="AB180" s="48" t="str">
        <f t="shared" si="18"/>
        <v>-</v>
      </c>
      <c r="AC180" s="48" t="str">
        <f t="shared" si="19"/>
        <v>-</v>
      </c>
      <c r="AD180" s="48" t="str">
        <f t="shared" si="20"/>
        <v>-</v>
      </c>
      <c r="AE180" s="48" t="str">
        <f t="shared" si="21"/>
        <v>-</v>
      </c>
      <c r="AF180" s="48" t="str">
        <f t="shared" si="22"/>
        <v>-</v>
      </c>
      <c r="AG180" s="48" t="str">
        <f t="shared" si="23"/>
        <v>-</v>
      </c>
    </row>
    <row r="181" spans="1:33" ht="15" thickBot="1" x14ac:dyDescent="0.35">
      <c r="A181" s="574"/>
      <c r="B181" s="346" t="s">
        <v>545</v>
      </c>
      <c r="C181" s="347">
        <v>145</v>
      </c>
      <c r="D181" s="335"/>
      <c r="E181" s="348">
        <v>0.8</v>
      </c>
      <c r="F181" s="349">
        <v>0.6</v>
      </c>
      <c r="G181" s="349">
        <v>0.3</v>
      </c>
      <c r="H181" s="348">
        <v>0.8</v>
      </c>
      <c r="I181" s="347" t="s">
        <v>578</v>
      </c>
      <c r="J181" s="350"/>
      <c r="K181" s="336"/>
      <c r="L181" s="336"/>
      <c r="M181" s="336"/>
      <c r="N181" s="336"/>
      <c r="O181" s="336"/>
      <c r="P181" s="336"/>
      <c r="Q181" s="336"/>
      <c r="R181" s="336"/>
      <c r="S181" s="336"/>
      <c r="T181" s="336"/>
      <c r="U181" s="351"/>
      <c r="V181" s="352" t="s">
        <v>379</v>
      </c>
      <c r="W181" s="323"/>
      <c r="X181" s="324">
        <v>8.2100000000000009</v>
      </c>
      <c r="Z181" s="48">
        <f t="shared" si="16"/>
        <v>8.2100000000000009</v>
      </c>
      <c r="AA181" s="48" t="str">
        <f t="shared" si="17"/>
        <v>-</v>
      </c>
      <c r="AB181" s="48" t="str">
        <f t="shared" si="18"/>
        <v>-</v>
      </c>
      <c r="AC181" s="48" t="str">
        <f t="shared" si="19"/>
        <v>-</v>
      </c>
      <c r="AD181" s="48" t="str">
        <f t="shared" si="20"/>
        <v>-</v>
      </c>
      <c r="AE181" s="48" t="str">
        <f t="shared" si="21"/>
        <v>-</v>
      </c>
      <c r="AF181" s="48" t="str">
        <f t="shared" si="22"/>
        <v>-</v>
      </c>
      <c r="AG181" s="48" t="str">
        <f t="shared" si="23"/>
        <v>-</v>
      </c>
    </row>
    <row r="182" spans="1:33" ht="15" thickBot="1" x14ac:dyDescent="0.35">
      <c r="A182" s="574"/>
      <c r="B182" s="346" t="s">
        <v>545</v>
      </c>
      <c r="C182" s="347">
        <v>155</v>
      </c>
      <c r="D182" s="335"/>
      <c r="E182" s="348">
        <v>0.8</v>
      </c>
      <c r="F182" s="349">
        <v>0.6</v>
      </c>
      <c r="G182" s="349">
        <v>0.3</v>
      </c>
      <c r="H182" s="348">
        <v>0.8</v>
      </c>
      <c r="I182" s="347" t="s">
        <v>578</v>
      </c>
      <c r="J182" s="350"/>
      <c r="K182" s="336"/>
      <c r="L182" s="336"/>
      <c r="M182" s="336"/>
      <c r="N182" s="336"/>
      <c r="O182" s="336"/>
      <c r="P182" s="336"/>
      <c r="Q182" s="336"/>
      <c r="R182" s="336"/>
      <c r="S182" s="336"/>
      <c r="T182" s="336"/>
      <c r="U182" s="351"/>
      <c r="V182" s="352" t="s">
        <v>379</v>
      </c>
      <c r="W182" s="323"/>
      <c r="X182" s="324">
        <v>8.19</v>
      </c>
      <c r="Z182" s="48">
        <f t="shared" si="16"/>
        <v>8.19</v>
      </c>
      <c r="AA182" s="48" t="str">
        <f t="shared" si="17"/>
        <v>-</v>
      </c>
      <c r="AB182" s="48" t="str">
        <f t="shared" si="18"/>
        <v>-</v>
      </c>
      <c r="AC182" s="48" t="str">
        <f t="shared" si="19"/>
        <v>-</v>
      </c>
      <c r="AD182" s="48" t="str">
        <f t="shared" si="20"/>
        <v>-</v>
      </c>
      <c r="AE182" s="48" t="str">
        <f t="shared" si="21"/>
        <v>-</v>
      </c>
      <c r="AF182" s="48" t="str">
        <f t="shared" si="22"/>
        <v>-</v>
      </c>
      <c r="AG182" s="48" t="str">
        <f t="shared" si="23"/>
        <v>-</v>
      </c>
    </row>
    <row r="183" spans="1:33" ht="15" thickBot="1" x14ac:dyDescent="0.35">
      <c r="A183" s="574"/>
      <c r="B183" s="346" t="s">
        <v>545</v>
      </c>
      <c r="C183" s="347">
        <v>165</v>
      </c>
      <c r="D183" s="335"/>
      <c r="E183" s="348">
        <v>0.8</v>
      </c>
      <c r="F183" s="349">
        <v>0.6</v>
      </c>
      <c r="G183" s="349">
        <v>0.3</v>
      </c>
      <c r="H183" s="348">
        <v>0.8</v>
      </c>
      <c r="I183" s="347" t="s">
        <v>578</v>
      </c>
      <c r="J183" s="350"/>
      <c r="K183" s="336"/>
      <c r="L183" s="336"/>
      <c r="M183" s="336"/>
      <c r="N183" s="336"/>
      <c r="O183" s="336"/>
      <c r="P183" s="336"/>
      <c r="Q183" s="336"/>
      <c r="R183" s="336"/>
      <c r="S183" s="336"/>
      <c r="T183" s="336"/>
      <c r="U183" s="351"/>
      <c r="V183" s="352" t="s">
        <v>379</v>
      </c>
      <c r="W183" s="323"/>
      <c r="X183" s="324">
        <v>8.17</v>
      </c>
      <c r="Z183" s="48">
        <f t="shared" si="16"/>
        <v>8.17</v>
      </c>
      <c r="AA183" s="48" t="str">
        <f t="shared" si="17"/>
        <v>-</v>
      </c>
      <c r="AB183" s="48" t="str">
        <f t="shared" si="18"/>
        <v>-</v>
      </c>
      <c r="AC183" s="48" t="str">
        <f t="shared" si="19"/>
        <v>-</v>
      </c>
      <c r="AD183" s="48" t="str">
        <f t="shared" si="20"/>
        <v>-</v>
      </c>
      <c r="AE183" s="48" t="str">
        <f t="shared" si="21"/>
        <v>-</v>
      </c>
      <c r="AF183" s="48" t="str">
        <f t="shared" si="22"/>
        <v>-</v>
      </c>
      <c r="AG183" s="48" t="str">
        <f t="shared" si="23"/>
        <v>-</v>
      </c>
    </row>
    <row r="184" spans="1:33" ht="15" thickBot="1" x14ac:dyDescent="0.35">
      <c r="A184" s="574"/>
      <c r="B184" s="346" t="s">
        <v>551</v>
      </c>
      <c r="C184" s="347">
        <v>805</v>
      </c>
      <c r="D184" s="335"/>
      <c r="E184" s="348">
        <v>0.8</v>
      </c>
      <c r="F184" s="349">
        <v>0.6</v>
      </c>
      <c r="G184" s="349">
        <v>0.3</v>
      </c>
      <c r="H184" s="348">
        <v>0.8</v>
      </c>
      <c r="I184" s="347" t="s">
        <v>578</v>
      </c>
      <c r="J184" s="350"/>
      <c r="K184" s="336"/>
      <c r="L184" s="336"/>
      <c r="M184" s="336"/>
      <c r="N184" s="336"/>
      <c r="O184" s="336"/>
      <c r="P184" s="336"/>
      <c r="Q184" s="336"/>
      <c r="R184" s="336"/>
      <c r="S184" s="336"/>
      <c r="T184" s="336"/>
      <c r="U184" s="351"/>
      <c r="V184" s="352" t="s">
        <v>379</v>
      </c>
      <c r="W184" s="323"/>
      <c r="X184" s="324">
        <v>6.16</v>
      </c>
      <c r="Z184" s="48">
        <f t="shared" si="16"/>
        <v>6.16</v>
      </c>
      <c r="AA184" s="48" t="str">
        <f t="shared" si="17"/>
        <v>-</v>
      </c>
      <c r="AB184" s="48" t="str">
        <f t="shared" si="18"/>
        <v>-</v>
      </c>
      <c r="AC184" s="48" t="str">
        <f t="shared" si="19"/>
        <v>-</v>
      </c>
      <c r="AD184" s="48" t="str">
        <f t="shared" si="20"/>
        <v>-</v>
      </c>
      <c r="AE184" s="48" t="str">
        <f t="shared" si="21"/>
        <v>-</v>
      </c>
      <c r="AF184" s="48" t="str">
        <f t="shared" si="22"/>
        <v>-</v>
      </c>
      <c r="AG184" s="48" t="str">
        <f t="shared" si="23"/>
        <v>-</v>
      </c>
    </row>
    <row r="185" spans="1:33" ht="15" thickBot="1" x14ac:dyDescent="0.35">
      <c r="A185" s="574"/>
      <c r="B185" s="346" t="s">
        <v>551</v>
      </c>
      <c r="C185" s="347">
        <v>163</v>
      </c>
      <c r="D185" s="335"/>
      <c r="E185" s="348">
        <v>0.8</v>
      </c>
      <c r="F185" s="349">
        <v>0.6</v>
      </c>
      <c r="G185" s="349">
        <v>0.3</v>
      </c>
      <c r="H185" s="348">
        <v>0.8</v>
      </c>
      <c r="I185" s="347" t="s">
        <v>578</v>
      </c>
      <c r="J185" s="350"/>
      <c r="K185" s="336"/>
      <c r="L185" s="336"/>
      <c r="M185" s="336"/>
      <c r="N185" s="336"/>
      <c r="O185" s="336"/>
      <c r="P185" s="336"/>
      <c r="Q185" s="336"/>
      <c r="R185" s="336"/>
      <c r="S185" s="336"/>
      <c r="T185" s="336"/>
      <c r="U185" s="351"/>
      <c r="V185" s="352" t="s">
        <v>379</v>
      </c>
      <c r="W185" s="323"/>
      <c r="X185" s="324">
        <v>6.13</v>
      </c>
      <c r="Z185" s="48">
        <f t="shared" si="16"/>
        <v>6.13</v>
      </c>
      <c r="AA185" s="48" t="str">
        <f t="shared" si="17"/>
        <v>-</v>
      </c>
      <c r="AB185" s="48" t="str">
        <f t="shared" si="18"/>
        <v>-</v>
      </c>
      <c r="AC185" s="48" t="str">
        <f t="shared" si="19"/>
        <v>-</v>
      </c>
      <c r="AD185" s="48" t="str">
        <f t="shared" si="20"/>
        <v>-</v>
      </c>
      <c r="AE185" s="48" t="str">
        <f t="shared" si="21"/>
        <v>-</v>
      </c>
      <c r="AF185" s="48" t="str">
        <f t="shared" si="22"/>
        <v>-</v>
      </c>
      <c r="AG185" s="48" t="str">
        <f t="shared" si="23"/>
        <v>-</v>
      </c>
    </row>
    <row r="186" spans="1:33" ht="15" thickBot="1" x14ac:dyDescent="0.35">
      <c r="A186" s="574"/>
      <c r="B186" s="346" t="s">
        <v>551</v>
      </c>
      <c r="C186" s="347">
        <v>148</v>
      </c>
      <c r="D186" s="335"/>
      <c r="E186" s="348">
        <v>0.8</v>
      </c>
      <c r="F186" s="349">
        <v>0.6</v>
      </c>
      <c r="G186" s="349">
        <v>0.3</v>
      </c>
      <c r="H186" s="348">
        <v>0.8</v>
      </c>
      <c r="I186" s="347" t="s">
        <v>578</v>
      </c>
      <c r="J186" s="350"/>
      <c r="K186" s="336"/>
      <c r="L186" s="336"/>
      <c r="M186" s="336"/>
      <c r="N186" s="336"/>
      <c r="O186" s="336"/>
      <c r="P186" s="336"/>
      <c r="Q186" s="336"/>
      <c r="R186" s="336"/>
      <c r="S186" s="336"/>
      <c r="T186" s="336"/>
      <c r="U186" s="351"/>
      <c r="V186" s="352" t="s">
        <v>379</v>
      </c>
      <c r="W186" s="323"/>
      <c r="X186" s="324">
        <v>6.11</v>
      </c>
      <c r="Z186" s="48">
        <f t="shared" si="16"/>
        <v>6.11</v>
      </c>
      <c r="AA186" s="48" t="str">
        <f t="shared" si="17"/>
        <v>-</v>
      </c>
      <c r="AB186" s="48" t="str">
        <f t="shared" si="18"/>
        <v>-</v>
      </c>
      <c r="AC186" s="48" t="str">
        <f t="shared" si="19"/>
        <v>-</v>
      </c>
      <c r="AD186" s="48" t="str">
        <f t="shared" si="20"/>
        <v>-</v>
      </c>
      <c r="AE186" s="48" t="str">
        <f t="shared" si="21"/>
        <v>-</v>
      </c>
      <c r="AF186" s="48" t="str">
        <f t="shared" si="22"/>
        <v>-</v>
      </c>
      <c r="AG186" s="48" t="str">
        <f t="shared" si="23"/>
        <v>-</v>
      </c>
    </row>
    <row r="187" spans="1:33" ht="15" thickBot="1" x14ac:dyDescent="0.35">
      <c r="A187" s="574"/>
      <c r="B187" s="346" t="s">
        <v>551</v>
      </c>
      <c r="C187" s="347">
        <v>150</v>
      </c>
      <c r="D187" s="335"/>
      <c r="E187" s="348">
        <v>0.8</v>
      </c>
      <c r="F187" s="349">
        <v>0.6</v>
      </c>
      <c r="G187" s="349">
        <v>0.3</v>
      </c>
      <c r="H187" s="348">
        <v>0.8</v>
      </c>
      <c r="I187" s="347" t="s">
        <v>578</v>
      </c>
      <c r="J187" s="350"/>
      <c r="K187" s="336"/>
      <c r="L187" s="336"/>
      <c r="M187" s="336"/>
      <c r="N187" s="336"/>
      <c r="O187" s="336"/>
      <c r="P187" s="336"/>
      <c r="Q187" s="336"/>
      <c r="R187" s="336"/>
      <c r="S187" s="336"/>
      <c r="T187" s="336"/>
      <c r="U187" s="351"/>
      <c r="V187" s="352" t="s">
        <v>379</v>
      </c>
      <c r="W187" s="323"/>
      <c r="X187" s="324">
        <v>6.08</v>
      </c>
      <c r="Z187" s="48">
        <f t="shared" si="16"/>
        <v>6.08</v>
      </c>
      <c r="AA187" s="48" t="str">
        <f t="shared" si="17"/>
        <v>-</v>
      </c>
      <c r="AB187" s="48" t="str">
        <f t="shared" si="18"/>
        <v>-</v>
      </c>
      <c r="AC187" s="48" t="str">
        <f t="shared" si="19"/>
        <v>-</v>
      </c>
      <c r="AD187" s="48" t="str">
        <f t="shared" si="20"/>
        <v>-</v>
      </c>
      <c r="AE187" s="48" t="str">
        <f t="shared" si="21"/>
        <v>-</v>
      </c>
      <c r="AF187" s="48" t="str">
        <f t="shared" si="22"/>
        <v>-</v>
      </c>
      <c r="AG187" s="48" t="str">
        <f t="shared" si="23"/>
        <v>-</v>
      </c>
    </row>
    <row r="188" spans="1:33" ht="15" thickBot="1" x14ac:dyDescent="0.35">
      <c r="A188" s="574"/>
      <c r="B188" s="346" t="s">
        <v>551</v>
      </c>
      <c r="C188" s="347">
        <v>160</v>
      </c>
      <c r="D188" s="335"/>
      <c r="E188" s="348">
        <v>0.8</v>
      </c>
      <c r="F188" s="349">
        <v>0.6</v>
      </c>
      <c r="G188" s="349">
        <v>0.3</v>
      </c>
      <c r="H188" s="348">
        <v>0.8</v>
      </c>
      <c r="I188" s="347" t="s">
        <v>578</v>
      </c>
      <c r="J188" s="350"/>
      <c r="K188" s="336"/>
      <c r="L188" s="336"/>
      <c r="M188" s="336"/>
      <c r="N188" s="336"/>
      <c r="O188" s="336"/>
      <c r="P188" s="336"/>
      <c r="Q188" s="336"/>
      <c r="R188" s="336"/>
      <c r="S188" s="336"/>
      <c r="T188" s="336"/>
      <c r="U188" s="351"/>
      <c r="V188" s="352" t="s">
        <v>379</v>
      </c>
      <c r="W188" s="323"/>
      <c r="X188" s="324">
        <v>6.08</v>
      </c>
      <c r="Z188" s="48">
        <f t="shared" si="16"/>
        <v>6.08</v>
      </c>
      <c r="AA188" s="48" t="str">
        <f t="shared" si="17"/>
        <v>-</v>
      </c>
      <c r="AB188" s="48" t="str">
        <f t="shared" si="18"/>
        <v>-</v>
      </c>
      <c r="AC188" s="48" t="str">
        <f t="shared" si="19"/>
        <v>-</v>
      </c>
      <c r="AD188" s="48" t="str">
        <f t="shared" si="20"/>
        <v>-</v>
      </c>
      <c r="AE188" s="48" t="str">
        <f t="shared" si="21"/>
        <v>-</v>
      </c>
      <c r="AF188" s="48" t="str">
        <f t="shared" si="22"/>
        <v>-</v>
      </c>
      <c r="AG188" s="48" t="str">
        <f t="shared" si="23"/>
        <v>-</v>
      </c>
    </row>
    <row r="189" spans="1:33" ht="15" thickBot="1" x14ac:dyDescent="0.35">
      <c r="A189" s="577"/>
      <c r="B189" s="353" t="s">
        <v>551</v>
      </c>
      <c r="C189" s="354">
        <v>170</v>
      </c>
      <c r="D189" s="355"/>
      <c r="E189" s="356">
        <v>0.8</v>
      </c>
      <c r="F189" s="357">
        <v>0.6</v>
      </c>
      <c r="G189" s="357">
        <v>0.3</v>
      </c>
      <c r="H189" s="356">
        <v>0.8</v>
      </c>
      <c r="I189" s="354" t="s">
        <v>578</v>
      </c>
      <c r="J189" s="358"/>
      <c r="K189" s="359"/>
      <c r="L189" s="359"/>
      <c r="M189" s="359"/>
      <c r="N189" s="359"/>
      <c r="O189" s="359"/>
      <c r="P189" s="359"/>
      <c r="Q189" s="359"/>
      <c r="R189" s="359"/>
      <c r="S189" s="359"/>
      <c r="T189" s="359"/>
      <c r="U189" s="360"/>
      <c r="V189" s="361" t="s">
        <v>379</v>
      </c>
      <c r="W189" s="325"/>
      <c r="X189" s="326">
        <v>6.17</v>
      </c>
      <c r="Z189" s="48">
        <f t="shared" si="16"/>
        <v>6.17</v>
      </c>
      <c r="AA189" s="48" t="str">
        <f t="shared" si="17"/>
        <v>-</v>
      </c>
      <c r="AB189" s="48" t="str">
        <f t="shared" si="18"/>
        <v>-</v>
      </c>
      <c r="AC189" s="48" t="str">
        <f t="shared" si="19"/>
        <v>-</v>
      </c>
      <c r="AD189" s="48" t="str">
        <f t="shared" si="20"/>
        <v>-</v>
      </c>
      <c r="AE189" s="48" t="str">
        <f t="shared" si="21"/>
        <v>-</v>
      </c>
      <c r="AF189" s="48" t="str">
        <f t="shared" si="22"/>
        <v>-</v>
      </c>
      <c r="AG189" s="48" t="str">
        <f t="shared" si="23"/>
        <v>-</v>
      </c>
    </row>
    <row r="190" spans="1:33" ht="15.75" thickBot="1" x14ac:dyDescent="0.3">
      <c r="A190" s="382" t="s">
        <v>552</v>
      </c>
      <c r="B190" s="383" t="s">
        <v>553</v>
      </c>
      <c r="C190" s="384"/>
      <c r="D190" s="335"/>
      <c r="E190" s="385">
        <v>0.8</v>
      </c>
      <c r="F190" s="386">
        <v>0.6</v>
      </c>
      <c r="G190" s="386">
        <v>0.3</v>
      </c>
      <c r="H190" s="385">
        <v>0.8</v>
      </c>
      <c r="I190" s="384"/>
      <c r="J190" s="387" t="s">
        <v>578</v>
      </c>
      <c r="K190" s="336"/>
      <c r="L190" s="336"/>
      <c r="M190" s="336"/>
      <c r="N190" s="336"/>
      <c r="O190" s="336"/>
      <c r="P190" s="336"/>
      <c r="Q190" s="336"/>
      <c r="R190" s="336"/>
      <c r="S190" s="336"/>
      <c r="T190" s="336"/>
      <c r="U190" s="351"/>
      <c r="V190" s="352" t="s">
        <v>122</v>
      </c>
      <c r="W190" s="333"/>
      <c r="X190" s="334">
        <v>9.1300000000000008</v>
      </c>
      <c r="Z190" s="48" t="str">
        <f t="shared" si="16"/>
        <v>-</v>
      </c>
      <c r="AA190" s="48">
        <f t="shared" si="17"/>
        <v>9.1300000000000008</v>
      </c>
      <c r="AB190" s="48" t="str">
        <f t="shared" si="18"/>
        <v>-</v>
      </c>
      <c r="AC190" s="48" t="str">
        <f t="shared" si="19"/>
        <v>-</v>
      </c>
      <c r="AD190" s="48" t="str">
        <f t="shared" si="20"/>
        <v>-</v>
      </c>
      <c r="AE190" s="48" t="str">
        <f t="shared" si="21"/>
        <v>-</v>
      </c>
      <c r="AF190" s="48" t="str">
        <f t="shared" si="22"/>
        <v>-</v>
      </c>
      <c r="AG190" s="48" t="str">
        <f t="shared" si="23"/>
        <v>-</v>
      </c>
    </row>
    <row r="191" spans="1:33" ht="15.75" thickBot="1" x14ac:dyDescent="0.3">
      <c r="A191" s="372" t="s">
        <v>554</v>
      </c>
      <c r="B191" s="373" t="s">
        <v>553</v>
      </c>
      <c r="C191" s="374"/>
      <c r="D191" s="375"/>
      <c r="E191" s="376">
        <v>0.8</v>
      </c>
      <c r="F191" s="377">
        <v>0.6</v>
      </c>
      <c r="G191" s="377">
        <v>0.3</v>
      </c>
      <c r="H191" s="376">
        <v>0.8</v>
      </c>
      <c r="I191" s="374"/>
      <c r="J191" s="378" t="s">
        <v>578</v>
      </c>
      <c r="K191" s="379"/>
      <c r="L191" s="379"/>
      <c r="M191" s="379"/>
      <c r="N191" s="379"/>
      <c r="O191" s="379"/>
      <c r="P191" s="379"/>
      <c r="Q191" s="379"/>
      <c r="R191" s="379"/>
      <c r="S191" s="379"/>
      <c r="T191" s="379"/>
      <c r="U191" s="380"/>
      <c r="V191" s="381" t="s">
        <v>122</v>
      </c>
      <c r="W191" s="331"/>
      <c r="X191" s="332">
        <v>4.5</v>
      </c>
      <c r="Z191" s="48" t="str">
        <f t="shared" si="16"/>
        <v>-</v>
      </c>
      <c r="AA191" s="48">
        <f t="shared" si="17"/>
        <v>4.5</v>
      </c>
      <c r="AB191" s="48" t="str">
        <f t="shared" si="18"/>
        <v>-</v>
      </c>
      <c r="AC191" s="48" t="str">
        <f t="shared" si="19"/>
        <v>-</v>
      </c>
      <c r="AD191" s="48" t="str">
        <f t="shared" si="20"/>
        <v>-</v>
      </c>
      <c r="AE191" s="48" t="str">
        <f t="shared" si="21"/>
        <v>-</v>
      </c>
      <c r="AF191" s="48" t="str">
        <f t="shared" si="22"/>
        <v>-</v>
      </c>
      <c r="AG191" s="48" t="str">
        <f t="shared" si="23"/>
        <v>-</v>
      </c>
    </row>
    <row r="192" spans="1:33" ht="15" thickBot="1" x14ac:dyDescent="0.35">
      <c r="A192" s="573" t="s">
        <v>555</v>
      </c>
      <c r="B192" s="362" t="s">
        <v>537</v>
      </c>
      <c r="C192" s="363"/>
      <c r="D192" s="335"/>
      <c r="E192" s="364">
        <v>0.8</v>
      </c>
      <c r="F192" s="365">
        <v>0.6</v>
      </c>
      <c r="G192" s="365">
        <v>0.3</v>
      </c>
      <c r="H192" s="364">
        <v>0.8</v>
      </c>
      <c r="I192" s="363"/>
      <c r="J192" s="366" t="s">
        <v>378</v>
      </c>
      <c r="K192" s="336"/>
      <c r="L192" s="336"/>
      <c r="M192" s="336"/>
      <c r="N192" s="336"/>
      <c r="O192" s="336"/>
      <c r="P192" s="336"/>
      <c r="Q192" s="336"/>
      <c r="R192" s="336"/>
      <c r="S192" s="336"/>
      <c r="T192" s="336"/>
      <c r="U192" s="351"/>
      <c r="V192" s="352" t="s">
        <v>122</v>
      </c>
      <c r="W192" s="327"/>
      <c r="X192" s="328">
        <v>8.2100000000000009</v>
      </c>
      <c r="Z192" s="48" t="str">
        <f t="shared" si="16"/>
        <v>-</v>
      </c>
      <c r="AA192" s="48">
        <f t="shared" si="17"/>
        <v>8.2100000000000009</v>
      </c>
      <c r="AB192" s="48" t="str">
        <f t="shared" si="18"/>
        <v>-</v>
      </c>
      <c r="AC192" s="48" t="str">
        <f t="shared" si="19"/>
        <v>-</v>
      </c>
      <c r="AD192" s="48" t="str">
        <f t="shared" si="20"/>
        <v>-</v>
      </c>
      <c r="AE192" s="48" t="str">
        <f t="shared" si="21"/>
        <v>-</v>
      </c>
      <c r="AF192" s="48" t="str">
        <f t="shared" si="22"/>
        <v>-</v>
      </c>
      <c r="AG192" s="48" t="str">
        <f t="shared" si="23"/>
        <v>-</v>
      </c>
    </row>
    <row r="193" spans="1:33" ht="15" thickBot="1" x14ac:dyDescent="0.35">
      <c r="A193" s="575"/>
      <c r="B193" s="367" t="s">
        <v>537</v>
      </c>
      <c r="C193" s="368"/>
      <c r="D193" s="335"/>
      <c r="E193" s="369">
        <v>0.8</v>
      </c>
      <c r="F193" s="370">
        <v>0.6</v>
      </c>
      <c r="G193" s="370">
        <v>0.3</v>
      </c>
      <c r="H193" s="369">
        <v>0.8</v>
      </c>
      <c r="I193" s="368"/>
      <c r="J193" s="371" t="s">
        <v>378</v>
      </c>
      <c r="K193" s="336"/>
      <c r="L193" s="336"/>
      <c r="M193" s="336"/>
      <c r="N193" s="336"/>
      <c r="O193" s="336"/>
      <c r="P193" s="336"/>
      <c r="Q193" s="336"/>
      <c r="R193" s="336"/>
      <c r="S193" s="336"/>
      <c r="T193" s="336"/>
      <c r="U193" s="351"/>
      <c r="V193" s="352" t="s">
        <v>122</v>
      </c>
      <c r="W193" s="329"/>
      <c r="X193" s="330">
        <v>8.4499999999999993</v>
      </c>
      <c r="Z193" s="48" t="str">
        <f t="shared" si="16"/>
        <v>-</v>
      </c>
      <c r="AA193" s="48">
        <f t="shared" si="17"/>
        <v>8.4499999999999993</v>
      </c>
      <c r="AB193" s="48" t="str">
        <f t="shared" si="18"/>
        <v>-</v>
      </c>
      <c r="AC193" s="48" t="str">
        <f t="shared" si="19"/>
        <v>-</v>
      </c>
      <c r="AD193" s="48" t="str">
        <f t="shared" si="20"/>
        <v>-</v>
      </c>
      <c r="AE193" s="48" t="str">
        <f t="shared" si="21"/>
        <v>-</v>
      </c>
      <c r="AF193" s="48" t="str">
        <f t="shared" si="22"/>
        <v>-</v>
      </c>
      <c r="AG193" s="48" t="str">
        <f t="shared" si="23"/>
        <v>-</v>
      </c>
    </row>
    <row r="194" spans="1:33" ht="15" thickBot="1" x14ac:dyDescent="0.35">
      <c r="A194" s="576" t="s">
        <v>556</v>
      </c>
      <c r="B194" s="337" t="s">
        <v>557</v>
      </c>
      <c r="C194" s="338" t="s">
        <v>577</v>
      </c>
      <c r="D194" s="339"/>
      <c r="E194" s="340">
        <v>0.8</v>
      </c>
      <c r="F194" s="341">
        <v>0.6</v>
      </c>
      <c r="G194" s="341">
        <v>0.3</v>
      </c>
      <c r="H194" s="340">
        <v>0.8</v>
      </c>
      <c r="I194" s="338" t="s">
        <v>578</v>
      </c>
      <c r="J194" s="342"/>
      <c r="K194" s="343"/>
      <c r="L194" s="343"/>
      <c r="M194" s="343"/>
      <c r="N194" s="343"/>
      <c r="O194" s="343"/>
      <c r="P194" s="343"/>
      <c r="Q194" s="343"/>
      <c r="R194" s="343"/>
      <c r="S194" s="343"/>
      <c r="T194" s="343"/>
      <c r="U194" s="344"/>
      <c r="V194" s="345" t="s">
        <v>379</v>
      </c>
      <c r="W194" s="321"/>
      <c r="X194" s="322">
        <v>12.19</v>
      </c>
      <c r="Z194" s="48">
        <f t="shared" si="16"/>
        <v>12.19</v>
      </c>
      <c r="AA194" s="48" t="str">
        <f t="shared" si="17"/>
        <v>-</v>
      </c>
      <c r="AB194" s="48" t="str">
        <f t="shared" si="18"/>
        <v>-</v>
      </c>
      <c r="AC194" s="48" t="str">
        <f t="shared" si="19"/>
        <v>-</v>
      </c>
      <c r="AD194" s="48" t="str">
        <f t="shared" si="20"/>
        <v>-</v>
      </c>
      <c r="AE194" s="48" t="str">
        <f t="shared" si="21"/>
        <v>-</v>
      </c>
      <c r="AF194" s="48" t="str">
        <f t="shared" si="22"/>
        <v>-</v>
      </c>
      <c r="AG194" s="48" t="str">
        <f t="shared" si="23"/>
        <v>-</v>
      </c>
    </row>
    <row r="195" spans="1:33" ht="15" thickBot="1" x14ac:dyDescent="0.35">
      <c r="A195" s="577"/>
      <c r="B195" s="353" t="s">
        <v>557</v>
      </c>
      <c r="C195" s="354" t="s">
        <v>577</v>
      </c>
      <c r="D195" s="355"/>
      <c r="E195" s="356">
        <v>0.8</v>
      </c>
      <c r="F195" s="357">
        <v>0.6</v>
      </c>
      <c r="G195" s="357">
        <v>0.3</v>
      </c>
      <c r="H195" s="356">
        <v>0.8</v>
      </c>
      <c r="I195" s="354" t="s">
        <v>578</v>
      </c>
      <c r="J195" s="358"/>
      <c r="K195" s="359"/>
      <c r="L195" s="359"/>
      <c r="M195" s="359"/>
      <c r="N195" s="359"/>
      <c r="O195" s="359"/>
      <c r="P195" s="359"/>
      <c r="Q195" s="359"/>
      <c r="R195" s="359"/>
      <c r="S195" s="359"/>
      <c r="T195" s="359"/>
      <c r="U195" s="360"/>
      <c r="V195" s="361" t="s">
        <v>379</v>
      </c>
      <c r="W195" s="325"/>
      <c r="X195" s="326">
        <v>11.84</v>
      </c>
      <c r="Z195" s="48">
        <f t="shared" si="16"/>
        <v>11.84</v>
      </c>
      <c r="AA195" s="48" t="str">
        <f t="shared" si="17"/>
        <v>-</v>
      </c>
      <c r="AB195" s="48" t="str">
        <f t="shared" si="18"/>
        <v>-</v>
      </c>
      <c r="AC195" s="48" t="str">
        <f t="shared" si="19"/>
        <v>-</v>
      </c>
      <c r="AD195" s="48" t="str">
        <f t="shared" si="20"/>
        <v>-</v>
      </c>
      <c r="AE195" s="48" t="str">
        <f t="shared" si="21"/>
        <v>-</v>
      </c>
      <c r="AF195" s="48" t="str">
        <f t="shared" si="22"/>
        <v>-</v>
      </c>
      <c r="AG195" s="48" t="str">
        <f t="shared" si="23"/>
        <v>-</v>
      </c>
    </row>
    <row r="196" spans="1:33" ht="15" thickBot="1" x14ac:dyDescent="0.35">
      <c r="A196" s="573" t="s">
        <v>387</v>
      </c>
      <c r="B196" s="362" t="s">
        <v>545</v>
      </c>
      <c r="C196" s="363">
        <v>197</v>
      </c>
      <c r="D196" s="335"/>
      <c r="E196" s="364">
        <v>0.8</v>
      </c>
      <c r="F196" s="365">
        <v>0.6</v>
      </c>
      <c r="G196" s="365">
        <v>0.3</v>
      </c>
      <c r="H196" s="364">
        <v>0.8</v>
      </c>
      <c r="I196" s="363" t="s">
        <v>578</v>
      </c>
      <c r="J196" s="366"/>
      <c r="K196" s="336"/>
      <c r="L196" s="336"/>
      <c r="M196" s="336"/>
      <c r="N196" s="336"/>
      <c r="O196" s="336"/>
      <c r="P196" s="336"/>
      <c r="Q196" s="336"/>
      <c r="R196" s="336"/>
      <c r="S196" s="336"/>
      <c r="T196" s="336"/>
      <c r="U196" s="351"/>
      <c r="V196" s="352" t="s">
        <v>379</v>
      </c>
      <c r="W196" s="327"/>
      <c r="X196" s="328">
        <v>7.97</v>
      </c>
      <c r="Z196" s="48">
        <f t="shared" ref="Z196:Z259" si="24">IF(AND(0&lt;=$H196,$H196&lt;=1,$V196="U")=TRUE,$X196,"-")</f>
        <v>7.97</v>
      </c>
      <c r="AA196" s="48" t="str">
        <f t="shared" ref="AA196:AA259" si="25">IF(AND(0&lt;=$H196,$H196&lt;=1,$V196="r")=TRUE,$X196,"-")</f>
        <v>-</v>
      </c>
      <c r="AB196" s="48" t="str">
        <f t="shared" ref="AB196:AB259" si="26">IF(AND(0&lt;=$H196,$H196&lt;=1,$V196="RI")=TRUE,$X196,"-")</f>
        <v>-</v>
      </c>
      <c r="AC196" s="48" t="str">
        <f t="shared" ref="AC196:AC259" si="27">IF(AND(0&lt;=$H196,$H196&lt;=1,$V196="RE")=TRUE,$X196,"-")</f>
        <v>-</v>
      </c>
      <c r="AD196" s="48" t="str">
        <f t="shared" ref="AD196:AD259" si="28">IF(AND(1.01&lt;=$H196,$H196&lt;=1.25,$V196="U")=TRUE,$X196,"-")</f>
        <v>-</v>
      </c>
      <c r="AE196" s="48" t="str">
        <f t="shared" ref="AE196:AE259" si="29">IF(AND(1.01&lt;=$H196,$H196&lt;=1.25,$V196="R")=TRUE,$X196,"-")</f>
        <v>-</v>
      </c>
      <c r="AF196" s="48" t="str">
        <f t="shared" ref="AF196:AF259" si="30">IF(AND(1.01&lt;=$H196,$H196&lt;=1.25,$V196="RI")=TRUE,$X196,"-")</f>
        <v>-</v>
      </c>
      <c r="AG196" s="48" t="str">
        <f t="shared" ref="AG196:AG259" si="31">IF(AND(1.01&lt;=$H196,$H196&lt;=1.25,$V196="RE")=TRUE,$X196,"-")</f>
        <v>-</v>
      </c>
    </row>
    <row r="197" spans="1:33" ht="15" thickBot="1" x14ac:dyDescent="0.35">
      <c r="A197" s="574"/>
      <c r="B197" s="346" t="s">
        <v>545</v>
      </c>
      <c r="C197" s="347">
        <v>185</v>
      </c>
      <c r="D197" s="335"/>
      <c r="E197" s="348">
        <v>0.8</v>
      </c>
      <c r="F197" s="349">
        <v>0.6</v>
      </c>
      <c r="G197" s="349">
        <v>0.3</v>
      </c>
      <c r="H197" s="348">
        <v>0.8</v>
      </c>
      <c r="I197" s="347" t="s">
        <v>578</v>
      </c>
      <c r="J197" s="350"/>
      <c r="K197" s="336"/>
      <c r="L197" s="336"/>
      <c r="M197" s="336"/>
      <c r="N197" s="336"/>
      <c r="O197" s="336"/>
      <c r="P197" s="336"/>
      <c r="Q197" s="336"/>
      <c r="R197" s="336"/>
      <c r="S197" s="336"/>
      <c r="T197" s="336"/>
      <c r="U197" s="351"/>
      <c r="V197" s="352" t="s">
        <v>379</v>
      </c>
      <c r="W197" s="323"/>
      <c r="X197" s="324">
        <v>8.02</v>
      </c>
      <c r="Z197" s="48">
        <f t="shared" si="24"/>
        <v>8.02</v>
      </c>
      <c r="AA197" s="48" t="str">
        <f t="shared" si="25"/>
        <v>-</v>
      </c>
      <c r="AB197" s="48" t="str">
        <f t="shared" si="26"/>
        <v>-</v>
      </c>
      <c r="AC197" s="48" t="str">
        <f t="shared" si="27"/>
        <v>-</v>
      </c>
      <c r="AD197" s="48" t="str">
        <f t="shared" si="28"/>
        <v>-</v>
      </c>
      <c r="AE197" s="48" t="str">
        <f t="shared" si="29"/>
        <v>-</v>
      </c>
      <c r="AF197" s="48" t="str">
        <f t="shared" si="30"/>
        <v>-</v>
      </c>
      <c r="AG197" s="48" t="str">
        <f t="shared" si="31"/>
        <v>-</v>
      </c>
    </row>
    <row r="198" spans="1:33" ht="15" thickBot="1" x14ac:dyDescent="0.35">
      <c r="A198" s="574"/>
      <c r="B198" s="346" t="s">
        <v>558</v>
      </c>
      <c r="C198" s="347">
        <v>103</v>
      </c>
      <c r="D198" s="335"/>
      <c r="E198" s="348">
        <v>0.8</v>
      </c>
      <c r="F198" s="349">
        <v>0.6</v>
      </c>
      <c r="G198" s="349">
        <v>0.3</v>
      </c>
      <c r="H198" s="348">
        <v>0.8</v>
      </c>
      <c r="I198" s="347" t="s">
        <v>578</v>
      </c>
      <c r="J198" s="350"/>
      <c r="K198" s="336"/>
      <c r="L198" s="336"/>
      <c r="M198" s="336"/>
      <c r="N198" s="336"/>
      <c r="O198" s="336"/>
      <c r="P198" s="336"/>
      <c r="Q198" s="336"/>
      <c r="R198" s="336"/>
      <c r="S198" s="336"/>
      <c r="T198" s="336"/>
      <c r="U198" s="351"/>
      <c r="V198" s="352" t="s">
        <v>379</v>
      </c>
      <c r="W198" s="323">
        <v>1</v>
      </c>
      <c r="X198" s="324">
        <v>0.64</v>
      </c>
      <c r="Z198" s="48">
        <f t="shared" si="24"/>
        <v>0.64</v>
      </c>
      <c r="AA198" s="48" t="str">
        <f t="shared" si="25"/>
        <v>-</v>
      </c>
      <c r="AB198" s="48" t="str">
        <f t="shared" si="26"/>
        <v>-</v>
      </c>
      <c r="AC198" s="48" t="str">
        <f t="shared" si="27"/>
        <v>-</v>
      </c>
      <c r="AD198" s="48" t="str">
        <f t="shared" si="28"/>
        <v>-</v>
      </c>
      <c r="AE198" s="48" t="str">
        <f t="shared" si="29"/>
        <v>-</v>
      </c>
      <c r="AF198" s="48" t="str">
        <f t="shared" si="30"/>
        <v>-</v>
      </c>
      <c r="AG198" s="48" t="str">
        <f t="shared" si="31"/>
        <v>-</v>
      </c>
    </row>
    <row r="199" spans="1:33" ht="15" thickBot="1" x14ac:dyDescent="0.35">
      <c r="A199" s="574"/>
      <c r="B199" s="346" t="s">
        <v>558</v>
      </c>
      <c r="C199" s="347">
        <v>125</v>
      </c>
      <c r="D199" s="335"/>
      <c r="E199" s="348">
        <v>0.8</v>
      </c>
      <c r="F199" s="349">
        <v>0.6</v>
      </c>
      <c r="G199" s="349">
        <v>0.3</v>
      </c>
      <c r="H199" s="348">
        <v>0.8</v>
      </c>
      <c r="I199" s="347" t="s">
        <v>578</v>
      </c>
      <c r="J199" s="350"/>
      <c r="K199" s="336"/>
      <c r="L199" s="336"/>
      <c r="M199" s="336"/>
      <c r="N199" s="336"/>
      <c r="O199" s="336"/>
      <c r="P199" s="336"/>
      <c r="Q199" s="336"/>
      <c r="R199" s="336"/>
      <c r="S199" s="336"/>
      <c r="T199" s="336"/>
      <c r="U199" s="351"/>
      <c r="V199" s="352" t="s">
        <v>379</v>
      </c>
      <c r="W199" s="323">
        <v>1</v>
      </c>
      <c r="X199" s="324">
        <v>0.64</v>
      </c>
      <c r="Z199" s="48">
        <f t="shared" si="24"/>
        <v>0.64</v>
      </c>
      <c r="AA199" s="48" t="str">
        <f t="shared" si="25"/>
        <v>-</v>
      </c>
      <c r="AB199" s="48" t="str">
        <f t="shared" si="26"/>
        <v>-</v>
      </c>
      <c r="AC199" s="48" t="str">
        <f t="shared" si="27"/>
        <v>-</v>
      </c>
      <c r="AD199" s="48" t="str">
        <f t="shared" si="28"/>
        <v>-</v>
      </c>
      <c r="AE199" s="48" t="str">
        <f t="shared" si="29"/>
        <v>-</v>
      </c>
      <c r="AF199" s="48" t="str">
        <f t="shared" si="30"/>
        <v>-</v>
      </c>
      <c r="AG199" s="48" t="str">
        <f t="shared" si="31"/>
        <v>-</v>
      </c>
    </row>
    <row r="200" spans="1:33" ht="15" thickBot="1" x14ac:dyDescent="0.35">
      <c r="A200" s="574"/>
      <c r="B200" s="346" t="s">
        <v>558</v>
      </c>
      <c r="C200" s="347">
        <v>109</v>
      </c>
      <c r="D200" s="335"/>
      <c r="E200" s="348">
        <v>0.8</v>
      </c>
      <c r="F200" s="349">
        <v>0.6</v>
      </c>
      <c r="G200" s="349">
        <v>0.3</v>
      </c>
      <c r="H200" s="348">
        <v>0.8</v>
      </c>
      <c r="I200" s="347" t="s">
        <v>578</v>
      </c>
      <c r="J200" s="350"/>
      <c r="K200" s="336"/>
      <c r="L200" s="336"/>
      <c r="M200" s="336"/>
      <c r="N200" s="336"/>
      <c r="O200" s="336"/>
      <c r="P200" s="336"/>
      <c r="Q200" s="336"/>
      <c r="R200" s="336"/>
      <c r="S200" s="336"/>
      <c r="T200" s="336"/>
      <c r="U200" s="351"/>
      <c r="V200" s="352" t="s">
        <v>379</v>
      </c>
      <c r="W200" s="323">
        <v>1</v>
      </c>
      <c r="X200" s="324">
        <v>0.64</v>
      </c>
      <c r="Z200" s="48">
        <f t="shared" si="24"/>
        <v>0.64</v>
      </c>
      <c r="AA200" s="48" t="str">
        <f t="shared" si="25"/>
        <v>-</v>
      </c>
      <c r="AB200" s="48" t="str">
        <f t="shared" si="26"/>
        <v>-</v>
      </c>
      <c r="AC200" s="48" t="str">
        <f t="shared" si="27"/>
        <v>-</v>
      </c>
      <c r="AD200" s="48" t="str">
        <f t="shared" si="28"/>
        <v>-</v>
      </c>
      <c r="AE200" s="48" t="str">
        <f t="shared" si="29"/>
        <v>-</v>
      </c>
      <c r="AF200" s="48" t="str">
        <f t="shared" si="30"/>
        <v>-</v>
      </c>
      <c r="AG200" s="48" t="str">
        <f t="shared" si="31"/>
        <v>-</v>
      </c>
    </row>
    <row r="201" spans="1:33" ht="15" thickBot="1" x14ac:dyDescent="0.35">
      <c r="A201" s="574"/>
      <c r="B201" s="346" t="s">
        <v>558</v>
      </c>
      <c r="C201" s="347">
        <v>133</v>
      </c>
      <c r="D201" s="335"/>
      <c r="E201" s="348">
        <v>0.8</v>
      </c>
      <c r="F201" s="349">
        <v>0.6</v>
      </c>
      <c r="G201" s="349">
        <v>0.3</v>
      </c>
      <c r="H201" s="348">
        <v>0.8</v>
      </c>
      <c r="I201" s="347" t="s">
        <v>578</v>
      </c>
      <c r="J201" s="350"/>
      <c r="K201" s="336"/>
      <c r="L201" s="336"/>
      <c r="M201" s="336"/>
      <c r="N201" s="336"/>
      <c r="O201" s="336"/>
      <c r="P201" s="336"/>
      <c r="Q201" s="336"/>
      <c r="R201" s="336"/>
      <c r="S201" s="336"/>
      <c r="T201" s="336"/>
      <c r="U201" s="351"/>
      <c r="V201" s="352" t="s">
        <v>379</v>
      </c>
      <c r="W201" s="323">
        <v>1</v>
      </c>
      <c r="X201" s="324">
        <v>0.64</v>
      </c>
      <c r="Z201" s="48">
        <f t="shared" si="24"/>
        <v>0.64</v>
      </c>
      <c r="AA201" s="48" t="str">
        <f t="shared" si="25"/>
        <v>-</v>
      </c>
      <c r="AB201" s="48" t="str">
        <f t="shared" si="26"/>
        <v>-</v>
      </c>
      <c r="AC201" s="48" t="str">
        <f t="shared" si="27"/>
        <v>-</v>
      </c>
      <c r="AD201" s="48" t="str">
        <f t="shared" si="28"/>
        <v>-</v>
      </c>
      <c r="AE201" s="48" t="str">
        <f t="shared" si="29"/>
        <v>-</v>
      </c>
      <c r="AF201" s="48" t="str">
        <f t="shared" si="30"/>
        <v>-</v>
      </c>
      <c r="AG201" s="48" t="str">
        <f t="shared" si="31"/>
        <v>-</v>
      </c>
    </row>
    <row r="202" spans="1:33" ht="15" thickBot="1" x14ac:dyDescent="0.35">
      <c r="A202" s="574"/>
      <c r="B202" s="346" t="s">
        <v>558</v>
      </c>
      <c r="C202" s="347">
        <v>137</v>
      </c>
      <c r="D202" s="335"/>
      <c r="E202" s="348">
        <v>0.8</v>
      </c>
      <c r="F202" s="349">
        <v>0.6</v>
      </c>
      <c r="G202" s="349">
        <v>0.3</v>
      </c>
      <c r="H202" s="348">
        <v>0.8</v>
      </c>
      <c r="I202" s="347" t="s">
        <v>578</v>
      </c>
      <c r="J202" s="350"/>
      <c r="K202" s="336"/>
      <c r="L202" s="336"/>
      <c r="M202" s="336"/>
      <c r="N202" s="336"/>
      <c r="O202" s="336"/>
      <c r="P202" s="336"/>
      <c r="Q202" s="336"/>
      <c r="R202" s="336"/>
      <c r="S202" s="336"/>
      <c r="T202" s="336"/>
      <c r="U202" s="351"/>
      <c r="V202" s="352" t="s">
        <v>379</v>
      </c>
      <c r="W202" s="323">
        <v>1</v>
      </c>
      <c r="X202" s="324">
        <v>0.64</v>
      </c>
      <c r="Z202" s="48">
        <f t="shared" si="24"/>
        <v>0.64</v>
      </c>
      <c r="AA202" s="48" t="str">
        <f t="shared" si="25"/>
        <v>-</v>
      </c>
      <c r="AB202" s="48" t="str">
        <f t="shared" si="26"/>
        <v>-</v>
      </c>
      <c r="AC202" s="48" t="str">
        <f t="shared" si="27"/>
        <v>-</v>
      </c>
      <c r="AD202" s="48" t="str">
        <f t="shared" si="28"/>
        <v>-</v>
      </c>
      <c r="AE202" s="48" t="str">
        <f t="shared" si="29"/>
        <v>-</v>
      </c>
      <c r="AF202" s="48" t="str">
        <f t="shared" si="30"/>
        <v>-</v>
      </c>
      <c r="AG202" s="48" t="str">
        <f t="shared" si="31"/>
        <v>-</v>
      </c>
    </row>
    <row r="203" spans="1:33" ht="15" thickBot="1" x14ac:dyDescent="0.35">
      <c r="A203" s="574"/>
      <c r="B203" s="346" t="s">
        <v>558</v>
      </c>
      <c r="C203" s="347">
        <v>140</v>
      </c>
      <c r="D203" s="335"/>
      <c r="E203" s="348">
        <v>0.8</v>
      </c>
      <c r="F203" s="349">
        <v>0.6</v>
      </c>
      <c r="G203" s="349">
        <v>0.3</v>
      </c>
      <c r="H203" s="348">
        <v>0.8</v>
      </c>
      <c r="I203" s="347" t="s">
        <v>578</v>
      </c>
      <c r="J203" s="350"/>
      <c r="K203" s="336"/>
      <c r="L203" s="336"/>
      <c r="M203" s="336"/>
      <c r="N203" s="336"/>
      <c r="O203" s="336"/>
      <c r="P203" s="336"/>
      <c r="Q203" s="336"/>
      <c r="R203" s="336"/>
      <c r="S203" s="336"/>
      <c r="T203" s="336"/>
      <c r="U203" s="351"/>
      <c r="V203" s="352" t="s">
        <v>379</v>
      </c>
      <c r="W203" s="323">
        <v>1</v>
      </c>
      <c r="X203" s="324">
        <v>0.64</v>
      </c>
      <c r="Z203" s="48">
        <f t="shared" si="24"/>
        <v>0.64</v>
      </c>
      <c r="AA203" s="48" t="str">
        <f t="shared" si="25"/>
        <v>-</v>
      </c>
      <c r="AB203" s="48" t="str">
        <f t="shared" si="26"/>
        <v>-</v>
      </c>
      <c r="AC203" s="48" t="str">
        <f t="shared" si="27"/>
        <v>-</v>
      </c>
      <c r="AD203" s="48" t="str">
        <f t="shared" si="28"/>
        <v>-</v>
      </c>
      <c r="AE203" s="48" t="str">
        <f t="shared" si="29"/>
        <v>-</v>
      </c>
      <c r="AF203" s="48" t="str">
        <f t="shared" si="30"/>
        <v>-</v>
      </c>
      <c r="AG203" s="48" t="str">
        <f t="shared" si="31"/>
        <v>-</v>
      </c>
    </row>
    <row r="204" spans="1:33" ht="15" thickBot="1" x14ac:dyDescent="0.35">
      <c r="A204" s="574"/>
      <c r="B204" s="346" t="s">
        <v>558</v>
      </c>
      <c r="C204" s="347">
        <v>20</v>
      </c>
      <c r="D204" s="335"/>
      <c r="E204" s="348">
        <v>0.8</v>
      </c>
      <c r="F204" s="349">
        <v>0.6</v>
      </c>
      <c r="G204" s="349">
        <v>0.3</v>
      </c>
      <c r="H204" s="348">
        <v>0.8</v>
      </c>
      <c r="I204" s="347" t="s">
        <v>578</v>
      </c>
      <c r="J204" s="350"/>
      <c r="K204" s="336"/>
      <c r="L204" s="336"/>
      <c r="M204" s="336"/>
      <c r="N204" s="336"/>
      <c r="O204" s="336"/>
      <c r="P204" s="336"/>
      <c r="Q204" s="336"/>
      <c r="R204" s="336"/>
      <c r="S204" s="336"/>
      <c r="T204" s="336"/>
      <c r="U204" s="351"/>
      <c r="V204" s="352" t="s">
        <v>379</v>
      </c>
      <c r="W204" s="323">
        <v>1</v>
      </c>
      <c r="X204" s="324">
        <v>0.64</v>
      </c>
      <c r="Z204" s="48">
        <f t="shared" si="24"/>
        <v>0.64</v>
      </c>
      <c r="AA204" s="48" t="str">
        <f t="shared" si="25"/>
        <v>-</v>
      </c>
      <c r="AB204" s="48" t="str">
        <f t="shared" si="26"/>
        <v>-</v>
      </c>
      <c r="AC204" s="48" t="str">
        <f t="shared" si="27"/>
        <v>-</v>
      </c>
      <c r="AD204" s="48" t="str">
        <f t="shared" si="28"/>
        <v>-</v>
      </c>
      <c r="AE204" s="48" t="str">
        <f t="shared" si="29"/>
        <v>-</v>
      </c>
      <c r="AF204" s="48" t="str">
        <f t="shared" si="30"/>
        <v>-</v>
      </c>
      <c r="AG204" s="48" t="str">
        <f t="shared" si="31"/>
        <v>-</v>
      </c>
    </row>
    <row r="205" spans="1:33" ht="15" thickBot="1" x14ac:dyDescent="0.35">
      <c r="A205" s="574"/>
      <c r="B205" s="346" t="s">
        <v>558</v>
      </c>
      <c r="C205" s="347">
        <v>157</v>
      </c>
      <c r="D205" s="335"/>
      <c r="E205" s="348">
        <v>0.8</v>
      </c>
      <c r="F205" s="349">
        <v>0.6</v>
      </c>
      <c r="G205" s="349">
        <v>0.3</v>
      </c>
      <c r="H205" s="348">
        <v>0.8</v>
      </c>
      <c r="I205" s="347" t="s">
        <v>578</v>
      </c>
      <c r="J205" s="350"/>
      <c r="K205" s="336"/>
      <c r="L205" s="336"/>
      <c r="M205" s="336"/>
      <c r="N205" s="336"/>
      <c r="O205" s="336"/>
      <c r="P205" s="336"/>
      <c r="Q205" s="336"/>
      <c r="R205" s="336"/>
      <c r="S205" s="336"/>
      <c r="T205" s="336"/>
      <c r="U205" s="351"/>
      <c r="V205" s="352" t="s">
        <v>379</v>
      </c>
      <c r="W205" s="323">
        <v>1</v>
      </c>
      <c r="X205" s="324">
        <v>0.64</v>
      </c>
      <c r="Z205" s="48">
        <f t="shared" si="24"/>
        <v>0.64</v>
      </c>
      <c r="AA205" s="48" t="str">
        <f t="shared" si="25"/>
        <v>-</v>
      </c>
      <c r="AB205" s="48" t="str">
        <f t="shared" si="26"/>
        <v>-</v>
      </c>
      <c r="AC205" s="48" t="str">
        <f t="shared" si="27"/>
        <v>-</v>
      </c>
      <c r="AD205" s="48" t="str">
        <f t="shared" si="28"/>
        <v>-</v>
      </c>
      <c r="AE205" s="48" t="str">
        <f t="shared" si="29"/>
        <v>-</v>
      </c>
      <c r="AF205" s="48" t="str">
        <f t="shared" si="30"/>
        <v>-</v>
      </c>
      <c r="AG205" s="48" t="str">
        <f t="shared" si="31"/>
        <v>-</v>
      </c>
    </row>
    <row r="206" spans="1:33" ht="15" thickBot="1" x14ac:dyDescent="0.35">
      <c r="A206" s="574"/>
      <c r="B206" s="346" t="s">
        <v>558</v>
      </c>
      <c r="C206" s="347">
        <v>165</v>
      </c>
      <c r="D206" s="335"/>
      <c r="E206" s="348">
        <v>0.8</v>
      </c>
      <c r="F206" s="349">
        <v>0.6</v>
      </c>
      <c r="G206" s="349">
        <v>0.3</v>
      </c>
      <c r="H206" s="348">
        <v>0.8</v>
      </c>
      <c r="I206" s="347" t="s">
        <v>578</v>
      </c>
      <c r="J206" s="350"/>
      <c r="K206" s="336"/>
      <c r="L206" s="336"/>
      <c r="M206" s="336"/>
      <c r="N206" s="336"/>
      <c r="O206" s="336"/>
      <c r="P206" s="336"/>
      <c r="Q206" s="336"/>
      <c r="R206" s="336"/>
      <c r="S206" s="336"/>
      <c r="T206" s="336"/>
      <c r="U206" s="351"/>
      <c r="V206" s="352" t="s">
        <v>379</v>
      </c>
      <c r="W206" s="323">
        <v>1</v>
      </c>
      <c r="X206" s="324">
        <v>0.64</v>
      </c>
      <c r="Z206" s="48">
        <f t="shared" si="24"/>
        <v>0.64</v>
      </c>
      <c r="AA206" s="48" t="str">
        <f t="shared" si="25"/>
        <v>-</v>
      </c>
      <c r="AB206" s="48" t="str">
        <f t="shared" si="26"/>
        <v>-</v>
      </c>
      <c r="AC206" s="48" t="str">
        <f t="shared" si="27"/>
        <v>-</v>
      </c>
      <c r="AD206" s="48" t="str">
        <f t="shared" si="28"/>
        <v>-</v>
      </c>
      <c r="AE206" s="48" t="str">
        <f t="shared" si="29"/>
        <v>-</v>
      </c>
      <c r="AF206" s="48" t="str">
        <f t="shared" si="30"/>
        <v>-</v>
      </c>
      <c r="AG206" s="48" t="str">
        <f t="shared" si="31"/>
        <v>-</v>
      </c>
    </row>
    <row r="207" spans="1:33" ht="15" thickBot="1" x14ac:dyDescent="0.35">
      <c r="A207" s="574"/>
      <c r="B207" s="346" t="s">
        <v>558</v>
      </c>
      <c r="C207" s="347">
        <v>183</v>
      </c>
      <c r="D207" s="335"/>
      <c r="E207" s="348">
        <v>0.8</v>
      </c>
      <c r="F207" s="349">
        <v>0.6</v>
      </c>
      <c r="G207" s="349">
        <v>0.3</v>
      </c>
      <c r="H207" s="348">
        <v>0.8</v>
      </c>
      <c r="I207" s="347" t="s">
        <v>578</v>
      </c>
      <c r="J207" s="350"/>
      <c r="K207" s="336"/>
      <c r="L207" s="336"/>
      <c r="M207" s="336"/>
      <c r="N207" s="336"/>
      <c r="O207" s="336"/>
      <c r="P207" s="336"/>
      <c r="Q207" s="336"/>
      <c r="R207" s="336"/>
      <c r="S207" s="336"/>
      <c r="T207" s="336"/>
      <c r="U207" s="351"/>
      <c r="V207" s="352" t="s">
        <v>379</v>
      </c>
      <c r="W207" s="323">
        <v>1</v>
      </c>
      <c r="X207" s="324">
        <v>0.64</v>
      </c>
      <c r="Z207" s="48">
        <f t="shared" si="24"/>
        <v>0.64</v>
      </c>
      <c r="AA207" s="48" t="str">
        <f t="shared" si="25"/>
        <v>-</v>
      </c>
      <c r="AB207" s="48" t="str">
        <f t="shared" si="26"/>
        <v>-</v>
      </c>
      <c r="AC207" s="48" t="str">
        <f t="shared" si="27"/>
        <v>-</v>
      </c>
      <c r="AD207" s="48" t="str">
        <f t="shared" si="28"/>
        <v>-</v>
      </c>
      <c r="AE207" s="48" t="str">
        <f t="shared" si="29"/>
        <v>-</v>
      </c>
      <c r="AF207" s="48" t="str">
        <f t="shared" si="30"/>
        <v>-</v>
      </c>
      <c r="AG207" s="48" t="str">
        <f t="shared" si="31"/>
        <v>-</v>
      </c>
    </row>
    <row r="208" spans="1:33" ht="15" thickBot="1" x14ac:dyDescent="0.35">
      <c r="A208" s="574"/>
      <c r="B208" s="346" t="s">
        <v>558</v>
      </c>
      <c r="C208" s="347">
        <v>181</v>
      </c>
      <c r="D208" s="335"/>
      <c r="E208" s="348">
        <v>0.8</v>
      </c>
      <c r="F208" s="349">
        <v>0.6</v>
      </c>
      <c r="G208" s="349">
        <v>0.3</v>
      </c>
      <c r="H208" s="348">
        <v>0.8</v>
      </c>
      <c r="I208" s="347" t="s">
        <v>578</v>
      </c>
      <c r="J208" s="350"/>
      <c r="K208" s="336"/>
      <c r="L208" s="336"/>
      <c r="M208" s="336"/>
      <c r="N208" s="336"/>
      <c r="O208" s="336"/>
      <c r="P208" s="336"/>
      <c r="Q208" s="336"/>
      <c r="R208" s="336"/>
      <c r="S208" s="336"/>
      <c r="T208" s="336"/>
      <c r="U208" s="351"/>
      <c r="V208" s="352" t="s">
        <v>379</v>
      </c>
      <c r="W208" s="323">
        <v>1</v>
      </c>
      <c r="X208" s="324">
        <v>0.64</v>
      </c>
      <c r="Z208" s="48">
        <f t="shared" si="24"/>
        <v>0.64</v>
      </c>
      <c r="AA208" s="48" t="str">
        <f t="shared" si="25"/>
        <v>-</v>
      </c>
      <c r="AB208" s="48" t="str">
        <f t="shared" si="26"/>
        <v>-</v>
      </c>
      <c r="AC208" s="48" t="str">
        <f t="shared" si="27"/>
        <v>-</v>
      </c>
      <c r="AD208" s="48" t="str">
        <f t="shared" si="28"/>
        <v>-</v>
      </c>
      <c r="AE208" s="48" t="str">
        <f t="shared" si="29"/>
        <v>-</v>
      </c>
      <c r="AF208" s="48" t="str">
        <f t="shared" si="30"/>
        <v>-</v>
      </c>
      <c r="AG208" s="48" t="str">
        <f t="shared" si="31"/>
        <v>-</v>
      </c>
    </row>
    <row r="209" spans="1:33" ht="15" thickBot="1" x14ac:dyDescent="0.35">
      <c r="A209" s="574"/>
      <c r="B209" s="346" t="s">
        <v>558</v>
      </c>
      <c r="C209" s="347" t="s">
        <v>377</v>
      </c>
      <c r="D209" s="335"/>
      <c r="E209" s="348">
        <v>0.8</v>
      </c>
      <c r="F209" s="349">
        <v>0.6</v>
      </c>
      <c r="G209" s="349">
        <v>0.3</v>
      </c>
      <c r="H209" s="348">
        <v>0.8</v>
      </c>
      <c r="I209" s="347" t="s">
        <v>578</v>
      </c>
      <c r="J209" s="350"/>
      <c r="K209" s="336"/>
      <c r="L209" s="336"/>
      <c r="M209" s="336"/>
      <c r="N209" s="336"/>
      <c r="O209" s="336"/>
      <c r="P209" s="336"/>
      <c r="Q209" s="336"/>
      <c r="R209" s="336"/>
      <c r="S209" s="336"/>
      <c r="T209" s="336"/>
      <c r="U209" s="351"/>
      <c r="V209" s="352" t="s">
        <v>379</v>
      </c>
      <c r="W209" s="323">
        <v>1</v>
      </c>
      <c r="X209" s="324">
        <v>0.64</v>
      </c>
      <c r="Z209" s="48">
        <f t="shared" si="24"/>
        <v>0.64</v>
      </c>
      <c r="AA209" s="48" t="str">
        <f t="shared" si="25"/>
        <v>-</v>
      </c>
      <c r="AB209" s="48" t="str">
        <f t="shared" si="26"/>
        <v>-</v>
      </c>
      <c r="AC209" s="48" t="str">
        <f t="shared" si="27"/>
        <v>-</v>
      </c>
      <c r="AD209" s="48" t="str">
        <f t="shared" si="28"/>
        <v>-</v>
      </c>
      <c r="AE209" s="48" t="str">
        <f t="shared" si="29"/>
        <v>-</v>
      </c>
      <c r="AF209" s="48" t="str">
        <f t="shared" si="30"/>
        <v>-</v>
      </c>
      <c r="AG209" s="48" t="str">
        <f t="shared" si="31"/>
        <v>-</v>
      </c>
    </row>
    <row r="210" spans="1:33" ht="15" thickBot="1" x14ac:dyDescent="0.35">
      <c r="A210" s="574"/>
      <c r="B210" s="346" t="s">
        <v>557</v>
      </c>
      <c r="C210" s="347">
        <v>102</v>
      </c>
      <c r="D210" s="335"/>
      <c r="E210" s="348">
        <v>0.8</v>
      </c>
      <c r="F210" s="349">
        <v>0.6</v>
      </c>
      <c r="G210" s="349">
        <v>0.3</v>
      </c>
      <c r="H210" s="348">
        <v>0.8</v>
      </c>
      <c r="I210" s="347" t="s">
        <v>578</v>
      </c>
      <c r="J210" s="350"/>
      <c r="K210" s="336"/>
      <c r="L210" s="336"/>
      <c r="M210" s="336"/>
      <c r="N210" s="336"/>
      <c r="O210" s="336"/>
      <c r="P210" s="336"/>
      <c r="Q210" s="336"/>
      <c r="R210" s="336"/>
      <c r="S210" s="336"/>
      <c r="T210" s="336"/>
      <c r="U210" s="351"/>
      <c r="V210" s="352" t="s">
        <v>379</v>
      </c>
      <c r="W210" s="323">
        <v>1</v>
      </c>
      <c r="X210" s="324">
        <v>1.66</v>
      </c>
      <c r="Z210" s="48">
        <f t="shared" si="24"/>
        <v>1.66</v>
      </c>
      <c r="AA210" s="48" t="str">
        <f t="shared" si="25"/>
        <v>-</v>
      </c>
      <c r="AB210" s="48" t="str">
        <f t="shared" si="26"/>
        <v>-</v>
      </c>
      <c r="AC210" s="48" t="str">
        <f t="shared" si="27"/>
        <v>-</v>
      </c>
      <c r="AD210" s="48" t="str">
        <f t="shared" si="28"/>
        <v>-</v>
      </c>
      <c r="AE210" s="48" t="str">
        <f t="shared" si="29"/>
        <v>-</v>
      </c>
      <c r="AF210" s="48" t="str">
        <f t="shared" si="30"/>
        <v>-</v>
      </c>
      <c r="AG210" s="48" t="str">
        <f t="shared" si="31"/>
        <v>-</v>
      </c>
    </row>
    <row r="211" spans="1:33" ht="15" thickBot="1" x14ac:dyDescent="0.35">
      <c r="A211" s="574"/>
      <c r="B211" s="346" t="s">
        <v>557</v>
      </c>
      <c r="C211" s="347">
        <v>110</v>
      </c>
      <c r="D211" s="335"/>
      <c r="E211" s="348">
        <v>0.8</v>
      </c>
      <c r="F211" s="349">
        <v>0.6</v>
      </c>
      <c r="G211" s="349">
        <v>0.3</v>
      </c>
      <c r="H211" s="348">
        <v>0.8</v>
      </c>
      <c r="I211" s="347" t="s">
        <v>578</v>
      </c>
      <c r="J211" s="350"/>
      <c r="K211" s="336"/>
      <c r="L211" s="336"/>
      <c r="M211" s="336"/>
      <c r="N211" s="336"/>
      <c r="O211" s="336"/>
      <c r="P211" s="336"/>
      <c r="Q211" s="336"/>
      <c r="R211" s="336"/>
      <c r="S211" s="336"/>
      <c r="T211" s="336"/>
      <c r="U211" s="351"/>
      <c r="V211" s="352" t="s">
        <v>379</v>
      </c>
      <c r="W211" s="323">
        <v>1</v>
      </c>
      <c r="X211" s="324">
        <v>1.72</v>
      </c>
      <c r="Z211" s="48">
        <f t="shared" si="24"/>
        <v>1.72</v>
      </c>
      <c r="AA211" s="48" t="str">
        <f t="shared" si="25"/>
        <v>-</v>
      </c>
      <c r="AB211" s="48" t="str">
        <f t="shared" si="26"/>
        <v>-</v>
      </c>
      <c r="AC211" s="48" t="str">
        <f t="shared" si="27"/>
        <v>-</v>
      </c>
      <c r="AD211" s="48" t="str">
        <f t="shared" si="28"/>
        <v>-</v>
      </c>
      <c r="AE211" s="48" t="str">
        <f t="shared" si="29"/>
        <v>-</v>
      </c>
      <c r="AF211" s="48" t="str">
        <f t="shared" si="30"/>
        <v>-</v>
      </c>
      <c r="AG211" s="48" t="str">
        <f t="shared" si="31"/>
        <v>-</v>
      </c>
    </row>
    <row r="212" spans="1:33" ht="15" thickBot="1" x14ac:dyDescent="0.35">
      <c r="A212" s="574"/>
      <c r="B212" s="346" t="s">
        <v>557</v>
      </c>
      <c r="C212" s="347">
        <v>118</v>
      </c>
      <c r="D212" s="335"/>
      <c r="E212" s="348">
        <v>0.8</v>
      </c>
      <c r="F212" s="349">
        <v>0.6</v>
      </c>
      <c r="G212" s="349">
        <v>0.3</v>
      </c>
      <c r="H212" s="348">
        <v>0.8</v>
      </c>
      <c r="I212" s="347" t="s">
        <v>578</v>
      </c>
      <c r="J212" s="350"/>
      <c r="K212" s="336"/>
      <c r="L212" s="336"/>
      <c r="M212" s="336"/>
      <c r="N212" s="336"/>
      <c r="O212" s="336"/>
      <c r="P212" s="336"/>
      <c r="Q212" s="336"/>
      <c r="R212" s="336"/>
      <c r="S212" s="336"/>
      <c r="T212" s="336"/>
      <c r="U212" s="351"/>
      <c r="V212" s="352" t="s">
        <v>379</v>
      </c>
      <c r="W212" s="323">
        <v>1</v>
      </c>
      <c r="X212" s="324">
        <v>1.78</v>
      </c>
      <c r="Z212" s="48">
        <f t="shared" si="24"/>
        <v>1.78</v>
      </c>
      <c r="AA212" s="48" t="str">
        <f t="shared" si="25"/>
        <v>-</v>
      </c>
      <c r="AB212" s="48" t="str">
        <f t="shared" si="26"/>
        <v>-</v>
      </c>
      <c r="AC212" s="48" t="str">
        <f t="shared" si="27"/>
        <v>-</v>
      </c>
      <c r="AD212" s="48" t="str">
        <f t="shared" si="28"/>
        <v>-</v>
      </c>
      <c r="AE212" s="48" t="str">
        <f t="shared" si="29"/>
        <v>-</v>
      </c>
      <c r="AF212" s="48" t="str">
        <f t="shared" si="30"/>
        <v>-</v>
      </c>
      <c r="AG212" s="48" t="str">
        <f t="shared" si="31"/>
        <v>-</v>
      </c>
    </row>
    <row r="213" spans="1:33" ht="15" thickBot="1" x14ac:dyDescent="0.35">
      <c r="A213" s="574"/>
      <c r="B213" s="346" t="s">
        <v>557</v>
      </c>
      <c r="C213" s="347">
        <v>126</v>
      </c>
      <c r="D213" s="335"/>
      <c r="E213" s="348">
        <v>0.8</v>
      </c>
      <c r="F213" s="349">
        <v>0.6</v>
      </c>
      <c r="G213" s="349">
        <v>0.3</v>
      </c>
      <c r="H213" s="348">
        <v>0.8</v>
      </c>
      <c r="I213" s="347" t="s">
        <v>578</v>
      </c>
      <c r="J213" s="350"/>
      <c r="K213" s="336"/>
      <c r="L213" s="336"/>
      <c r="M213" s="336"/>
      <c r="N213" s="336"/>
      <c r="O213" s="336"/>
      <c r="P213" s="336"/>
      <c r="Q213" s="336"/>
      <c r="R213" s="336"/>
      <c r="S213" s="336"/>
      <c r="T213" s="336"/>
      <c r="U213" s="351"/>
      <c r="V213" s="352" t="s">
        <v>379</v>
      </c>
      <c r="W213" s="323">
        <v>1</v>
      </c>
      <c r="X213" s="324">
        <v>1.85</v>
      </c>
      <c r="Z213" s="48">
        <f t="shared" si="24"/>
        <v>1.85</v>
      </c>
      <c r="AA213" s="48" t="str">
        <f t="shared" si="25"/>
        <v>-</v>
      </c>
      <c r="AB213" s="48" t="str">
        <f t="shared" si="26"/>
        <v>-</v>
      </c>
      <c r="AC213" s="48" t="str">
        <f t="shared" si="27"/>
        <v>-</v>
      </c>
      <c r="AD213" s="48" t="str">
        <f t="shared" si="28"/>
        <v>-</v>
      </c>
      <c r="AE213" s="48" t="str">
        <f t="shared" si="29"/>
        <v>-</v>
      </c>
      <c r="AF213" s="48" t="str">
        <f t="shared" si="30"/>
        <v>-</v>
      </c>
      <c r="AG213" s="48" t="str">
        <f t="shared" si="31"/>
        <v>-</v>
      </c>
    </row>
    <row r="214" spans="1:33" ht="15" thickBot="1" x14ac:dyDescent="0.35">
      <c r="A214" s="574"/>
      <c r="B214" s="346" t="s">
        <v>557</v>
      </c>
      <c r="C214" s="347">
        <v>134</v>
      </c>
      <c r="D214" s="335"/>
      <c r="E214" s="348">
        <v>0.8</v>
      </c>
      <c r="F214" s="349">
        <v>0.6</v>
      </c>
      <c r="G214" s="349">
        <v>0.3</v>
      </c>
      <c r="H214" s="348">
        <v>0.8</v>
      </c>
      <c r="I214" s="347" t="s">
        <v>578</v>
      </c>
      <c r="J214" s="350"/>
      <c r="K214" s="336"/>
      <c r="L214" s="336"/>
      <c r="M214" s="336"/>
      <c r="N214" s="336"/>
      <c r="O214" s="336"/>
      <c r="P214" s="336"/>
      <c r="Q214" s="336"/>
      <c r="R214" s="336"/>
      <c r="S214" s="336"/>
      <c r="T214" s="336"/>
      <c r="U214" s="351"/>
      <c r="V214" s="352" t="s">
        <v>379</v>
      </c>
      <c r="W214" s="323">
        <v>1</v>
      </c>
      <c r="X214" s="324">
        <v>1.87</v>
      </c>
      <c r="Z214" s="48">
        <f t="shared" si="24"/>
        <v>1.87</v>
      </c>
      <c r="AA214" s="48" t="str">
        <f t="shared" si="25"/>
        <v>-</v>
      </c>
      <c r="AB214" s="48" t="str">
        <f t="shared" si="26"/>
        <v>-</v>
      </c>
      <c r="AC214" s="48" t="str">
        <f t="shared" si="27"/>
        <v>-</v>
      </c>
      <c r="AD214" s="48" t="str">
        <f t="shared" si="28"/>
        <v>-</v>
      </c>
      <c r="AE214" s="48" t="str">
        <f t="shared" si="29"/>
        <v>-</v>
      </c>
      <c r="AF214" s="48" t="str">
        <f t="shared" si="30"/>
        <v>-</v>
      </c>
      <c r="AG214" s="48" t="str">
        <f t="shared" si="31"/>
        <v>-</v>
      </c>
    </row>
    <row r="215" spans="1:33" ht="15" thickBot="1" x14ac:dyDescent="0.35">
      <c r="A215" s="574"/>
      <c r="B215" s="346" t="s">
        <v>557</v>
      </c>
      <c r="C215" s="347">
        <v>142</v>
      </c>
      <c r="D215" s="335"/>
      <c r="E215" s="348">
        <v>0.8</v>
      </c>
      <c r="F215" s="349">
        <v>0.6</v>
      </c>
      <c r="G215" s="349">
        <v>0.3</v>
      </c>
      <c r="H215" s="348">
        <v>0.8</v>
      </c>
      <c r="I215" s="347" t="s">
        <v>578</v>
      </c>
      <c r="J215" s="350"/>
      <c r="K215" s="336"/>
      <c r="L215" s="336"/>
      <c r="M215" s="336"/>
      <c r="N215" s="336"/>
      <c r="O215" s="336"/>
      <c r="P215" s="336"/>
      <c r="Q215" s="336"/>
      <c r="R215" s="336"/>
      <c r="S215" s="336"/>
      <c r="T215" s="336"/>
      <c r="U215" s="351"/>
      <c r="V215" s="352" t="s">
        <v>379</v>
      </c>
      <c r="W215" s="323">
        <v>1</v>
      </c>
      <c r="X215" s="324">
        <v>1.96</v>
      </c>
      <c r="Z215" s="48">
        <f t="shared" si="24"/>
        <v>1.96</v>
      </c>
      <c r="AA215" s="48" t="str">
        <f t="shared" si="25"/>
        <v>-</v>
      </c>
      <c r="AB215" s="48" t="str">
        <f t="shared" si="26"/>
        <v>-</v>
      </c>
      <c r="AC215" s="48" t="str">
        <f t="shared" si="27"/>
        <v>-</v>
      </c>
      <c r="AD215" s="48" t="str">
        <f t="shared" si="28"/>
        <v>-</v>
      </c>
      <c r="AE215" s="48" t="str">
        <f t="shared" si="29"/>
        <v>-</v>
      </c>
      <c r="AF215" s="48" t="str">
        <f t="shared" si="30"/>
        <v>-</v>
      </c>
      <c r="AG215" s="48" t="str">
        <f t="shared" si="31"/>
        <v>-</v>
      </c>
    </row>
    <row r="216" spans="1:33" ht="15" thickBot="1" x14ac:dyDescent="0.35">
      <c r="A216" s="574"/>
      <c r="B216" s="346" t="s">
        <v>557</v>
      </c>
      <c r="C216" s="347">
        <v>150</v>
      </c>
      <c r="D216" s="335"/>
      <c r="E216" s="348">
        <v>0.8</v>
      </c>
      <c r="F216" s="349">
        <v>0.6</v>
      </c>
      <c r="G216" s="349">
        <v>0.3</v>
      </c>
      <c r="H216" s="348">
        <v>0.8</v>
      </c>
      <c r="I216" s="347" t="s">
        <v>578</v>
      </c>
      <c r="J216" s="350"/>
      <c r="K216" s="336"/>
      <c r="L216" s="336"/>
      <c r="M216" s="336"/>
      <c r="N216" s="336"/>
      <c r="O216" s="336"/>
      <c r="P216" s="336"/>
      <c r="Q216" s="336"/>
      <c r="R216" s="336"/>
      <c r="S216" s="336"/>
      <c r="T216" s="336"/>
      <c r="U216" s="351"/>
      <c r="V216" s="352" t="s">
        <v>379</v>
      </c>
      <c r="W216" s="323">
        <v>1</v>
      </c>
      <c r="X216" s="324">
        <v>1.96</v>
      </c>
      <c r="Z216" s="48">
        <f t="shared" si="24"/>
        <v>1.96</v>
      </c>
      <c r="AA216" s="48" t="str">
        <f t="shared" si="25"/>
        <v>-</v>
      </c>
      <c r="AB216" s="48" t="str">
        <f t="shared" si="26"/>
        <v>-</v>
      </c>
      <c r="AC216" s="48" t="str">
        <f t="shared" si="27"/>
        <v>-</v>
      </c>
      <c r="AD216" s="48" t="str">
        <f t="shared" si="28"/>
        <v>-</v>
      </c>
      <c r="AE216" s="48" t="str">
        <f t="shared" si="29"/>
        <v>-</v>
      </c>
      <c r="AF216" s="48" t="str">
        <f t="shared" si="30"/>
        <v>-</v>
      </c>
      <c r="AG216" s="48" t="str">
        <f t="shared" si="31"/>
        <v>-</v>
      </c>
    </row>
    <row r="217" spans="1:33" ht="15" thickBot="1" x14ac:dyDescent="0.35">
      <c r="A217" s="574"/>
      <c r="B217" s="346" t="s">
        <v>557</v>
      </c>
      <c r="C217" s="347">
        <v>158</v>
      </c>
      <c r="D217" s="335"/>
      <c r="E217" s="348">
        <v>0.8</v>
      </c>
      <c r="F217" s="349">
        <v>0.6</v>
      </c>
      <c r="G217" s="349">
        <v>0.3</v>
      </c>
      <c r="H217" s="348">
        <v>0.8</v>
      </c>
      <c r="I217" s="347" t="s">
        <v>578</v>
      </c>
      <c r="J217" s="350"/>
      <c r="K217" s="336"/>
      <c r="L217" s="336"/>
      <c r="M217" s="336"/>
      <c r="N217" s="336"/>
      <c r="O217" s="336"/>
      <c r="P217" s="336"/>
      <c r="Q217" s="336"/>
      <c r="R217" s="336"/>
      <c r="S217" s="336"/>
      <c r="T217" s="336"/>
      <c r="U217" s="351"/>
      <c r="V217" s="352" t="s">
        <v>379</v>
      </c>
      <c r="W217" s="323">
        <v>1</v>
      </c>
      <c r="X217" s="324">
        <v>2.06</v>
      </c>
      <c r="Z217" s="48">
        <f t="shared" si="24"/>
        <v>2.06</v>
      </c>
      <c r="AA217" s="48" t="str">
        <f t="shared" si="25"/>
        <v>-</v>
      </c>
      <c r="AB217" s="48" t="str">
        <f t="shared" si="26"/>
        <v>-</v>
      </c>
      <c r="AC217" s="48" t="str">
        <f t="shared" si="27"/>
        <v>-</v>
      </c>
      <c r="AD217" s="48" t="str">
        <f t="shared" si="28"/>
        <v>-</v>
      </c>
      <c r="AE217" s="48" t="str">
        <f t="shared" si="29"/>
        <v>-</v>
      </c>
      <c r="AF217" s="48" t="str">
        <f t="shared" si="30"/>
        <v>-</v>
      </c>
      <c r="AG217" s="48" t="str">
        <f t="shared" si="31"/>
        <v>-</v>
      </c>
    </row>
    <row r="218" spans="1:33" ht="15" thickBot="1" x14ac:dyDescent="0.35">
      <c r="A218" s="574"/>
      <c r="B218" s="346" t="s">
        <v>557</v>
      </c>
      <c r="C218" s="347">
        <v>166</v>
      </c>
      <c r="D218" s="335"/>
      <c r="E218" s="348">
        <v>0.8</v>
      </c>
      <c r="F218" s="349">
        <v>0.6</v>
      </c>
      <c r="G218" s="349">
        <v>0.3</v>
      </c>
      <c r="H218" s="348">
        <v>0.8</v>
      </c>
      <c r="I218" s="347" t="s">
        <v>578</v>
      </c>
      <c r="J218" s="350"/>
      <c r="K218" s="336"/>
      <c r="L218" s="336"/>
      <c r="M218" s="336"/>
      <c r="N218" s="336"/>
      <c r="O218" s="336"/>
      <c r="P218" s="336"/>
      <c r="Q218" s="336"/>
      <c r="R218" s="336"/>
      <c r="S218" s="336"/>
      <c r="T218" s="336"/>
      <c r="U218" s="351"/>
      <c r="V218" s="352" t="s">
        <v>379</v>
      </c>
      <c r="W218" s="323">
        <v>1</v>
      </c>
      <c r="X218" s="324">
        <v>2.0299999999999998</v>
      </c>
      <c r="Z218" s="48">
        <f t="shared" si="24"/>
        <v>2.0299999999999998</v>
      </c>
      <c r="AA218" s="48" t="str">
        <f t="shared" si="25"/>
        <v>-</v>
      </c>
      <c r="AB218" s="48" t="str">
        <f t="shared" si="26"/>
        <v>-</v>
      </c>
      <c r="AC218" s="48" t="str">
        <f t="shared" si="27"/>
        <v>-</v>
      </c>
      <c r="AD218" s="48" t="str">
        <f t="shared" si="28"/>
        <v>-</v>
      </c>
      <c r="AE218" s="48" t="str">
        <f t="shared" si="29"/>
        <v>-</v>
      </c>
      <c r="AF218" s="48" t="str">
        <f t="shared" si="30"/>
        <v>-</v>
      </c>
      <c r="AG218" s="48" t="str">
        <f t="shared" si="31"/>
        <v>-</v>
      </c>
    </row>
    <row r="219" spans="1:33" ht="15" thickBot="1" x14ac:dyDescent="0.35">
      <c r="A219" s="574"/>
      <c r="B219" s="346" t="s">
        <v>557</v>
      </c>
      <c r="C219" s="347">
        <v>10</v>
      </c>
      <c r="D219" s="335"/>
      <c r="E219" s="348">
        <v>0.8</v>
      </c>
      <c r="F219" s="349">
        <v>0.6</v>
      </c>
      <c r="G219" s="349">
        <v>0.3</v>
      </c>
      <c r="H219" s="348">
        <v>0.8</v>
      </c>
      <c r="I219" s="347" t="s">
        <v>578</v>
      </c>
      <c r="J219" s="350"/>
      <c r="K219" s="336"/>
      <c r="L219" s="336"/>
      <c r="M219" s="336"/>
      <c r="N219" s="336"/>
      <c r="O219" s="336"/>
      <c r="P219" s="336"/>
      <c r="Q219" s="336"/>
      <c r="R219" s="336"/>
      <c r="S219" s="336"/>
      <c r="T219" s="336"/>
      <c r="U219" s="351"/>
      <c r="V219" s="352" t="s">
        <v>379</v>
      </c>
      <c r="W219" s="323">
        <v>1</v>
      </c>
      <c r="X219" s="324">
        <v>1.99</v>
      </c>
      <c r="Z219" s="48">
        <f t="shared" si="24"/>
        <v>1.99</v>
      </c>
      <c r="AA219" s="48" t="str">
        <f t="shared" si="25"/>
        <v>-</v>
      </c>
      <c r="AB219" s="48" t="str">
        <f t="shared" si="26"/>
        <v>-</v>
      </c>
      <c r="AC219" s="48" t="str">
        <f t="shared" si="27"/>
        <v>-</v>
      </c>
      <c r="AD219" s="48" t="str">
        <f t="shared" si="28"/>
        <v>-</v>
      </c>
      <c r="AE219" s="48" t="str">
        <f t="shared" si="29"/>
        <v>-</v>
      </c>
      <c r="AF219" s="48" t="str">
        <f t="shared" si="30"/>
        <v>-</v>
      </c>
      <c r="AG219" s="48" t="str">
        <f t="shared" si="31"/>
        <v>-</v>
      </c>
    </row>
    <row r="220" spans="1:33" ht="15" thickBot="1" x14ac:dyDescent="0.35">
      <c r="A220" s="574"/>
      <c r="B220" s="346" t="s">
        <v>557</v>
      </c>
      <c r="C220" s="347">
        <v>11</v>
      </c>
      <c r="D220" s="335"/>
      <c r="E220" s="348">
        <v>0.8</v>
      </c>
      <c r="F220" s="349">
        <v>0.6</v>
      </c>
      <c r="G220" s="349">
        <v>0.3</v>
      </c>
      <c r="H220" s="348">
        <v>0.8</v>
      </c>
      <c r="I220" s="347" t="s">
        <v>578</v>
      </c>
      <c r="J220" s="350"/>
      <c r="K220" s="336"/>
      <c r="L220" s="336"/>
      <c r="M220" s="336"/>
      <c r="N220" s="336"/>
      <c r="O220" s="336"/>
      <c r="P220" s="336"/>
      <c r="Q220" s="336"/>
      <c r="R220" s="336"/>
      <c r="S220" s="336"/>
      <c r="T220" s="336"/>
      <c r="U220" s="351"/>
      <c r="V220" s="352" t="s">
        <v>379</v>
      </c>
      <c r="W220" s="323">
        <v>1</v>
      </c>
      <c r="X220" s="324">
        <v>1.95</v>
      </c>
      <c r="Z220" s="48">
        <f t="shared" si="24"/>
        <v>1.95</v>
      </c>
      <c r="AA220" s="48" t="str">
        <f t="shared" si="25"/>
        <v>-</v>
      </c>
      <c r="AB220" s="48" t="str">
        <f t="shared" si="26"/>
        <v>-</v>
      </c>
      <c r="AC220" s="48" t="str">
        <f t="shared" si="27"/>
        <v>-</v>
      </c>
      <c r="AD220" s="48" t="str">
        <f t="shared" si="28"/>
        <v>-</v>
      </c>
      <c r="AE220" s="48" t="str">
        <f t="shared" si="29"/>
        <v>-</v>
      </c>
      <c r="AF220" s="48" t="str">
        <f t="shared" si="30"/>
        <v>-</v>
      </c>
      <c r="AG220" s="48" t="str">
        <f t="shared" si="31"/>
        <v>-</v>
      </c>
    </row>
    <row r="221" spans="1:33" ht="15" thickBot="1" x14ac:dyDescent="0.35">
      <c r="A221" s="575"/>
      <c r="B221" s="367" t="s">
        <v>557</v>
      </c>
      <c r="C221" s="368" t="s">
        <v>377</v>
      </c>
      <c r="D221" s="335"/>
      <c r="E221" s="369">
        <v>0.8</v>
      </c>
      <c r="F221" s="370">
        <v>0.6</v>
      </c>
      <c r="G221" s="370">
        <v>0.3</v>
      </c>
      <c r="H221" s="369">
        <v>0.8</v>
      </c>
      <c r="I221" s="368" t="s">
        <v>578</v>
      </c>
      <c r="J221" s="371"/>
      <c r="K221" s="336"/>
      <c r="L221" s="336"/>
      <c r="M221" s="336"/>
      <c r="N221" s="336"/>
      <c r="O221" s="336"/>
      <c r="P221" s="336"/>
      <c r="Q221" s="336"/>
      <c r="R221" s="336"/>
      <c r="S221" s="336"/>
      <c r="T221" s="336"/>
      <c r="U221" s="351"/>
      <c r="V221" s="352" t="s">
        <v>379</v>
      </c>
      <c r="W221" s="329">
        <v>1</v>
      </c>
      <c r="X221" s="330">
        <v>1.74</v>
      </c>
      <c r="Z221" s="48">
        <f t="shared" si="24"/>
        <v>1.74</v>
      </c>
      <c r="AA221" s="48" t="str">
        <f t="shared" si="25"/>
        <v>-</v>
      </c>
      <c r="AB221" s="48" t="str">
        <f t="shared" si="26"/>
        <v>-</v>
      </c>
      <c r="AC221" s="48" t="str">
        <f t="shared" si="27"/>
        <v>-</v>
      </c>
      <c r="AD221" s="48" t="str">
        <f t="shared" si="28"/>
        <v>-</v>
      </c>
      <c r="AE221" s="48" t="str">
        <f t="shared" si="29"/>
        <v>-</v>
      </c>
      <c r="AF221" s="48" t="str">
        <f t="shared" si="30"/>
        <v>-</v>
      </c>
      <c r="AG221" s="48" t="str">
        <f t="shared" si="31"/>
        <v>-</v>
      </c>
    </row>
    <row r="222" spans="1:33" ht="15" thickBot="1" x14ac:dyDescent="0.35">
      <c r="A222" s="576" t="s">
        <v>559</v>
      </c>
      <c r="B222" s="337" t="s">
        <v>545</v>
      </c>
      <c r="C222" s="338">
        <v>209</v>
      </c>
      <c r="D222" s="339"/>
      <c r="E222" s="340">
        <v>0.8</v>
      </c>
      <c r="F222" s="341">
        <v>0.6</v>
      </c>
      <c r="G222" s="341">
        <v>0.3</v>
      </c>
      <c r="H222" s="340">
        <v>0.8</v>
      </c>
      <c r="I222" s="338" t="s">
        <v>578</v>
      </c>
      <c r="J222" s="342"/>
      <c r="K222" s="343"/>
      <c r="L222" s="343"/>
      <c r="M222" s="343"/>
      <c r="N222" s="343"/>
      <c r="O222" s="343"/>
      <c r="P222" s="343"/>
      <c r="Q222" s="343"/>
      <c r="R222" s="343"/>
      <c r="S222" s="343"/>
      <c r="T222" s="343"/>
      <c r="U222" s="344"/>
      <c r="V222" s="345" t="s">
        <v>379</v>
      </c>
      <c r="W222" s="321"/>
      <c r="X222" s="322">
        <v>8.1</v>
      </c>
      <c r="Z222" s="48">
        <f t="shared" si="24"/>
        <v>8.1</v>
      </c>
      <c r="AA222" s="48" t="str">
        <f t="shared" si="25"/>
        <v>-</v>
      </c>
      <c r="AB222" s="48" t="str">
        <f t="shared" si="26"/>
        <v>-</v>
      </c>
      <c r="AC222" s="48" t="str">
        <f t="shared" si="27"/>
        <v>-</v>
      </c>
      <c r="AD222" s="48" t="str">
        <f t="shared" si="28"/>
        <v>-</v>
      </c>
      <c r="AE222" s="48" t="str">
        <f t="shared" si="29"/>
        <v>-</v>
      </c>
      <c r="AF222" s="48" t="str">
        <f t="shared" si="30"/>
        <v>-</v>
      </c>
      <c r="AG222" s="48" t="str">
        <f t="shared" si="31"/>
        <v>-</v>
      </c>
    </row>
    <row r="223" spans="1:33" ht="15" thickBot="1" x14ac:dyDescent="0.35">
      <c r="A223" s="574"/>
      <c r="B223" s="346" t="s">
        <v>545</v>
      </c>
      <c r="C223" s="347">
        <v>217</v>
      </c>
      <c r="D223" s="335"/>
      <c r="E223" s="348">
        <v>0.8</v>
      </c>
      <c r="F223" s="349">
        <v>0.6</v>
      </c>
      <c r="G223" s="349">
        <v>0.3</v>
      </c>
      <c r="H223" s="348">
        <v>0.8</v>
      </c>
      <c r="I223" s="347" t="s">
        <v>578</v>
      </c>
      <c r="J223" s="350"/>
      <c r="K223" s="336"/>
      <c r="L223" s="336"/>
      <c r="M223" s="336"/>
      <c r="N223" s="336"/>
      <c r="O223" s="336"/>
      <c r="P223" s="336"/>
      <c r="Q223" s="336"/>
      <c r="R223" s="336"/>
      <c r="S223" s="336"/>
      <c r="T223" s="336"/>
      <c r="U223" s="351"/>
      <c r="V223" s="352" t="s">
        <v>379</v>
      </c>
      <c r="W223" s="323"/>
      <c r="X223" s="324">
        <v>8.14</v>
      </c>
      <c r="Z223" s="48">
        <f t="shared" si="24"/>
        <v>8.14</v>
      </c>
      <c r="AA223" s="48" t="str">
        <f t="shared" si="25"/>
        <v>-</v>
      </c>
      <c r="AB223" s="48" t="str">
        <f t="shared" si="26"/>
        <v>-</v>
      </c>
      <c r="AC223" s="48" t="str">
        <f t="shared" si="27"/>
        <v>-</v>
      </c>
      <c r="AD223" s="48" t="str">
        <f t="shared" si="28"/>
        <v>-</v>
      </c>
      <c r="AE223" s="48" t="str">
        <f t="shared" si="29"/>
        <v>-</v>
      </c>
      <c r="AF223" s="48" t="str">
        <f t="shared" si="30"/>
        <v>-</v>
      </c>
      <c r="AG223" s="48" t="str">
        <f t="shared" si="31"/>
        <v>-</v>
      </c>
    </row>
    <row r="224" spans="1:33" ht="15" thickBot="1" x14ac:dyDescent="0.35">
      <c r="A224" s="574"/>
      <c r="B224" s="346" t="s">
        <v>545</v>
      </c>
      <c r="C224" s="347">
        <v>225</v>
      </c>
      <c r="D224" s="335"/>
      <c r="E224" s="348">
        <v>0.8</v>
      </c>
      <c r="F224" s="349">
        <v>0.6</v>
      </c>
      <c r="G224" s="349">
        <v>0.3</v>
      </c>
      <c r="H224" s="348">
        <v>0.8</v>
      </c>
      <c r="I224" s="347" t="s">
        <v>578</v>
      </c>
      <c r="J224" s="350"/>
      <c r="K224" s="336"/>
      <c r="L224" s="336"/>
      <c r="M224" s="336"/>
      <c r="N224" s="336"/>
      <c r="O224" s="336"/>
      <c r="P224" s="336"/>
      <c r="Q224" s="336"/>
      <c r="R224" s="336"/>
      <c r="S224" s="336"/>
      <c r="T224" s="336"/>
      <c r="U224" s="351"/>
      <c r="V224" s="352" t="s">
        <v>379</v>
      </c>
      <c r="W224" s="323"/>
      <c r="X224" s="324">
        <v>8.15</v>
      </c>
      <c r="Z224" s="48">
        <f t="shared" si="24"/>
        <v>8.15</v>
      </c>
      <c r="AA224" s="48" t="str">
        <f t="shared" si="25"/>
        <v>-</v>
      </c>
      <c r="AB224" s="48" t="str">
        <f t="shared" si="26"/>
        <v>-</v>
      </c>
      <c r="AC224" s="48" t="str">
        <f t="shared" si="27"/>
        <v>-</v>
      </c>
      <c r="AD224" s="48" t="str">
        <f t="shared" si="28"/>
        <v>-</v>
      </c>
      <c r="AE224" s="48" t="str">
        <f t="shared" si="29"/>
        <v>-</v>
      </c>
      <c r="AF224" s="48" t="str">
        <f t="shared" si="30"/>
        <v>-</v>
      </c>
      <c r="AG224" s="48" t="str">
        <f t="shared" si="31"/>
        <v>-</v>
      </c>
    </row>
    <row r="225" spans="1:33" ht="15" thickBot="1" x14ac:dyDescent="0.35">
      <c r="A225" s="574"/>
      <c r="B225" s="346" t="s">
        <v>545</v>
      </c>
      <c r="C225" s="347">
        <v>239</v>
      </c>
      <c r="D225" s="335"/>
      <c r="E225" s="348">
        <v>0.8</v>
      </c>
      <c r="F225" s="349">
        <v>0.6</v>
      </c>
      <c r="G225" s="349">
        <v>0.3</v>
      </c>
      <c r="H225" s="348">
        <v>0.8</v>
      </c>
      <c r="I225" s="347" t="s">
        <v>578</v>
      </c>
      <c r="J225" s="350"/>
      <c r="K225" s="336"/>
      <c r="L225" s="336"/>
      <c r="M225" s="336"/>
      <c r="N225" s="336"/>
      <c r="O225" s="336"/>
      <c r="P225" s="336"/>
      <c r="Q225" s="336"/>
      <c r="R225" s="336"/>
      <c r="S225" s="336"/>
      <c r="T225" s="336"/>
      <c r="U225" s="351"/>
      <c r="V225" s="352" t="s">
        <v>379</v>
      </c>
      <c r="W225" s="323"/>
      <c r="X225" s="324">
        <v>8.19</v>
      </c>
      <c r="Z225" s="48">
        <f t="shared" si="24"/>
        <v>8.19</v>
      </c>
      <c r="AA225" s="48" t="str">
        <f t="shared" si="25"/>
        <v>-</v>
      </c>
      <c r="AB225" s="48" t="str">
        <f t="shared" si="26"/>
        <v>-</v>
      </c>
      <c r="AC225" s="48" t="str">
        <f t="shared" si="27"/>
        <v>-</v>
      </c>
      <c r="AD225" s="48" t="str">
        <f t="shared" si="28"/>
        <v>-</v>
      </c>
      <c r="AE225" s="48" t="str">
        <f t="shared" si="29"/>
        <v>-</v>
      </c>
      <c r="AF225" s="48" t="str">
        <f t="shared" si="30"/>
        <v>-</v>
      </c>
      <c r="AG225" s="48" t="str">
        <f t="shared" si="31"/>
        <v>-</v>
      </c>
    </row>
    <row r="226" spans="1:33" ht="15" thickBot="1" x14ac:dyDescent="0.35">
      <c r="A226" s="574"/>
      <c r="B226" s="346" t="s">
        <v>545</v>
      </c>
      <c r="C226" s="347">
        <v>247</v>
      </c>
      <c r="D226" s="335"/>
      <c r="E226" s="348">
        <v>0.8</v>
      </c>
      <c r="F226" s="349">
        <v>0.6</v>
      </c>
      <c r="G226" s="349">
        <v>0.3</v>
      </c>
      <c r="H226" s="348">
        <v>0.8</v>
      </c>
      <c r="I226" s="347" t="s">
        <v>578</v>
      </c>
      <c r="J226" s="350"/>
      <c r="K226" s="336"/>
      <c r="L226" s="336"/>
      <c r="M226" s="336"/>
      <c r="N226" s="336"/>
      <c r="O226" s="336"/>
      <c r="P226" s="336"/>
      <c r="Q226" s="336"/>
      <c r="R226" s="336"/>
      <c r="S226" s="336"/>
      <c r="T226" s="336"/>
      <c r="U226" s="351"/>
      <c r="V226" s="352" t="s">
        <v>379</v>
      </c>
      <c r="W226" s="323"/>
      <c r="X226" s="324">
        <v>8.33</v>
      </c>
      <c r="Z226" s="48">
        <f t="shared" si="24"/>
        <v>8.33</v>
      </c>
      <c r="AA226" s="48" t="str">
        <f t="shared" si="25"/>
        <v>-</v>
      </c>
      <c r="AB226" s="48" t="str">
        <f t="shared" si="26"/>
        <v>-</v>
      </c>
      <c r="AC226" s="48" t="str">
        <f t="shared" si="27"/>
        <v>-</v>
      </c>
      <c r="AD226" s="48" t="str">
        <f t="shared" si="28"/>
        <v>-</v>
      </c>
      <c r="AE226" s="48" t="str">
        <f t="shared" si="29"/>
        <v>-</v>
      </c>
      <c r="AF226" s="48" t="str">
        <f t="shared" si="30"/>
        <v>-</v>
      </c>
      <c r="AG226" s="48" t="str">
        <f t="shared" si="31"/>
        <v>-</v>
      </c>
    </row>
    <row r="227" spans="1:33" ht="15" thickBot="1" x14ac:dyDescent="0.35">
      <c r="A227" s="574"/>
      <c r="B227" s="346" t="s">
        <v>545</v>
      </c>
      <c r="C227" s="347">
        <v>249</v>
      </c>
      <c r="D227" s="335"/>
      <c r="E227" s="348">
        <v>0.8</v>
      </c>
      <c r="F227" s="349">
        <v>0.6</v>
      </c>
      <c r="G227" s="349">
        <v>0.3</v>
      </c>
      <c r="H227" s="348">
        <v>0.8</v>
      </c>
      <c r="I227" s="347" t="s">
        <v>578</v>
      </c>
      <c r="J227" s="350"/>
      <c r="K227" s="336"/>
      <c r="L227" s="336"/>
      <c r="M227" s="336"/>
      <c r="N227" s="336"/>
      <c r="O227" s="336"/>
      <c r="P227" s="336"/>
      <c r="Q227" s="336"/>
      <c r="R227" s="336"/>
      <c r="S227" s="336"/>
      <c r="T227" s="336"/>
      <c r="U227" s="351"/>
      <c r="V227" s="352" t="s">
        <v>379</v>
      </c>
      <c r="W227" s="323"/>
      <c r="X227" s="324">
        <v>8.4600000000000009</v>
      </c>
      <c r="Z227" s="48">
        <f t="shared" si="24"/>
        <v>8.4600000000000009</v>
      </c>
      <c r="AA227" s="48" t="str">
        <f t="shared" si="25"/>
        <v>-</v>
      </c>
      <c r="AB227" s="48" t="str">
        <f t="shared" si="26"/>
        <v>-</v>
      </c>
      <c r="AC227" s="48" t="str">
        <f t="shared" si="27"/>
        <v>-</v>
      </c>
      <c r="AD227" s="48" t="str">
        <f t="shared" si="28"/>
        <v>-</v>
      </c>
      <c r="AE227" s="48" t="str">
        <f t="shared" si="29"/>
        <v>-</v>
      </c>
      <c r="AF227" s="48" t="str">
        <f t="shared" si="30"/>
        <v>-</v>
      </c>
      <c r="AG227" s="48" t="str">
        <f t="shared" si="31"/>
        <v>-</v>
      </c>
    </row>
    <row r="228" spans="1:33" ht="15" thickBot="1" x14ac:dyDescent="0.35">
      <c r="A228" s="574"/>
      <c r="B228" s="346" t="s">
        <v>545</v>
      </c>
      <c r="C228" s="347">
        <v>257</v>
      </c>
      <c r="D228" s="335"/>
      <c r="E228" s="348">
        <v>0.8</v>
      </c>
      <c r="F228" s="349">
        <v>0.6</v>
      </c>
      <c r="G228" s="349">
        <v>0.3</v>
      </c>
      <c r="H228" s="348">
        <v>0.8</v>
      </c>
      <c r="I228" s="347" t="s">
        <v>578</v>
      </c>
      <c r="J228" s="350"/>
      <c r="K228" s="336"/>
      <c r="L228" s="336"/>
      <c r="M228" s="336"/>
      <c r="N228" s="336"/>
      <c r="O228" s="336"/>
      <c r="P228" s="336"/>
      <c r="Q228" s="336"/>
      <c r="R228" s="336"/>
      <c r="S228" s="336"/>
      <c r="T228" s="336"/>
      <c r="U228" s="351"/>
      <c r="V228" s="352" t="s">
        <v>379</v>
      </c>
      <c r="W228" s="323"/>
      <c r="X228" s="324">
        <v>8.61</v>
      </c>
      <c r="Z228" s="48">
        <f t="shared" si="24"/>
        <v>8.61</v>
      </c>
      <c r="AA228" s="48" t="str">
        <f t="shared" si="25"/>
        <v>-</v>
      </c>
      <c r="AB228" s="48" t="str">
        <f t="shared" si="26"/>
        <v>-</v>
      </c>
      <c r="AC228" s="48" t="str">
        <f t="shared" si="27"/>
        <v>-</v>
      </c>
      <c r="AD228" s="48" t="str">
        <f t="shared" si="28"/>
        <v>-</v>
      </c>
      <c r="AE228" s="48" t="str">
        <f t="shared" si="29"/>
        <v>-</v>
      </c>
      <c r="AF228" s="48" t="str">
        <f t="shared" si="30"/>
        <v>-</v>
      </c>
      <c r="AG228" s="48" t="str">
        <f t="shared" si="31"/>
        <v>-</v>
      </c>
    </row>
    <row r="229" spans="1:33" ht="15" thickBot="1" x14ac:dyDescent="0.35">
      <c r="A229" s="574"/>
      <c r="B229" s="346" t="s">
        <v>545</v>
      </c>
      <c r="C229" s="347">
        <v>265</v>
      </c>
      <c r="D229" s="335"/>
      <c r="E229" s="348">
        <v>0.8</v>
      </c>
      <c r="F229" s="349">
        <v>0.6</v>
      </c>
      <c r="G229" s="349">
        <v>0.3</v>
      </c>
      <c r="H229" s="348">
        <v>0.8</v>
      </c>
      <c r="I229" s="347" t="s">
        <v>578</v>
      </c>
      <c r="J229" s="350"/>
      <c r="K229" s="336"/>
      <c r="L229" s="336"/>
      <c r="M229" s="336"/>
      <c r="N229" s="336"/>
      <c r="O229" s="336"/>
      <c r="P229" s="336"/>
      <c r="Q229" s="336"/>
      <c r="R229" s="336"/>
      <c r="S229" s="336"/>
      <c r="T229" s="336"/>
      <c r="U229" s="351"/>
      <c r="V229" s="352" t="s">
        <v>379</v>
      </c>
      <c r="W229" s="323"/>
      <c r="X229" s="324">
        <v>8.66</v>
      </c>
      <c r="Z229" s="48">
        <f t="shared" si="24"/>
        <v>8.66</v>
      </c>
      <c r="AA229" s="48" t="str">
        <f t="shared" si="25"/>
        <v>-</v>
      </c>
      <c r="AB229" s="48" t="str">
        <f t="shared" si="26"/>
        <v>-</v>
      </c>
      <c r="AC229" s="48" t="str">
        <f t="shared" si="27"/>
        <v>-</v>
      </c>
      <c r="AD229" s="48" t="str">
        <f t="shared" si="28"/>
        <v>-</v>
      </c>
      <c r="AE229" s="48" t="str">
        <f t="shared" si="29"/>
        <v>-</v>
      </c>
      <c r="AF229" s="48" t="str">
        <f t="shared" si="30"/>
        <v>-</v>
      </c>
      <c r="AG229" s="48" t="str">
        <f t="shared" si="31"/>
        <v>-</v>
      </c>
    </row>
    <row r="230" spans="1:33" ht="15" thickBot="1" x14ac:dyDescent="0.35">
      <c r="A230" s="574"/>
      <c r="B230" s="346" t="s">
        <v>545</v>
      </c>
      <c r="C230" s="347">
        <v>273</v>
      </c>
      <c r="D230" s="335"/>
      <c r="E230" s="348">
        <v>0.8</v>
      </c>
      <c r="F230" s="349">
        <v>0.6</v>
      </c>
      <c r="G230" s="349">
        <v>0.3</v>
      </c>
      <c r="H230" s="348">
        <v>0.8</v>
      </c>
      <c r="I230" s="347" t="s">
        <v>578</v>
      </c>
      <c r="J230" s="350"/>
      <c r="K230" s="336"/>
      <c r="L230" s="336"/>
      <c r="M230" s="336"/>
      <c r="N230" s="336"/>
      <c r="O230" s="336"/>
      <c r="P230" s="336"/>
      <c r="Q230" s="336"/>
      <c r="R230" s="336"/>
      <c r="S230" s="336"/>
      <c r="T230" s="336"/>
      <c r="U230" s="351"/>
      <c r="V230" s="352" t="s">
        <v>379</v>
      </c>
      <c r="W230" s="323"/>
      <c r="X230" s="324">
        <v>8.61</v>
      </c>
      <c r="Z230" s="48">
        <f t="shared" si="24"/>
        <v>8.61</v>
      </c>
      <c r="AA230" s="48" t="str">
        <f t="shared" si="25"/>
        <v>-</v>
      </c>
      <c r="AB230" s="48" t="str">
        <f t="shared" si="26"/>
        <v>-</v>
      </c>
      <c r="AC230" s="48" t="str">
        <f t="shared" si="27"/>
        <v>-</v>
      </c>
      <c r="AD230" s="48" t="str">
        <f t="shared" si="28"/>
        <v>-</v>
      </c>
      <c r="AE230" s="48" t="str">
        <f t="shared" si="29"/>
        <v>-</v>
      </c>
      <c r="AF230" s="48" t="str">
        <f t="shared" si="30"/>
        <v>-</v>
      </c>
      <c r="AG230" s="48" t="str">
        <f t="shared" si="31"/>
        <v>-</v>
      </c>
    </row>
    <row r="231" spans="1:33" ht="15" thickBot="1" x14ac:dyDescent="0.35">
      <c r="A231" s="574"/>
      <c r="B231" s="346" t="s">
        <v>557</v>
      </c>
      <c r="C231" s="347">
        <v>197</v>
      </c>
      <c r="D231" s="335"/>
      <c r="E231" s="348">
        <v>0.8</v>
      </c>
      <c r="F231" s="349">
        <v>0.6</v>
      </c>
      <c r="G231" s="349">
        <v>0.3</v>
      </c>
      <c r="H231" s="348">
        <v>0.8</v>
      </c>
      <c r="I231" s="347" t="s">
        <v>578</v>
      </c>
      <c r="J231" s="350"/>
      <c r="K231" s="336"/>
      <c r="L231" s="336"/>
      <c r="M231" s="336"/>
      <c r="N231" s="336"/>
      <c r="O231" s="336"/>
      <c r="P231" s="336"/>
      <c r="Q231" s="336"/>
      <c r="R231" s="336"/>
      <c r="S231" s="336"/>
      <c r="T231" s="336"/>
      <c r="U231" s="351"/>
      <c r="V231" s="352" t="s">
        <v>379</v>
      </c>
      <c r="W231" s="323">
        <v>1</v>
      </c>
      <c r="X231" s="324">
        <v>0.45</v>
      </c>
      <c r="Z231" s="48">
        <f t="shared" si="24"/>
        <v>0.45</v>
      </c>
      <c r="AA231" s="48" t="str">
        <f t="shared" si="25"/>
        <v>-</v>
      </c>
      <c r="AB231" s="48" t="str">
        <f t="shared" si="26"/>
        <v>-</v>
      </c>
      <c r="AC231" s="48" t="str">
        <f t="shared" si="27"/>
        <v>-</v>
      </c>
      <c r="AD231" s="48" t="str">
        <f t="shared" si="28"/>
        <v>-</v>
      </c>
      <c r="AE231" s="48" t="str">
        <f t="shared" si="29"/>
        <v>-</v>
      </c>
      <c r="AF231" s="48" t="str">
        <f t="shared" si="30"/>
        <v>-</v>
      </c>
      <c r="AG231" s="48" t="str">
        <f t="shared" si="31"/>
        <v>-</v>
      </c>
    </row>
    <row r="232" spans="1:33" ht="15" thickBot="1" x14ac:dyDescent="0.35">
      <c r="A232" s="574"/>
      <c r="B232" s="346" t="s">
        <v>557</v>
      </c>
      <c r="C232" s="347">
        <v>193</v>
      </c>
      <c r="D232" s="335"/>
      <c r="E232" s="348">
        <v>0.8</v>
      </c>
      <c r="F232" s="349">
        <v>0.6</v>
      </c>
      <c r="G232" s="349">
        <v>0.3</v>
      </c>
      <c r="H232" s="348">
        <v>0.8</v>
      </c>
      <c r="I232" s="347" t="s">
        <v>578</v>
      </c>
      <c r="J232" s="350"/>
      <c r="K232" s="336"/>
      <c r="L232" s="336"/>
      <c r="M232" s="336"/>
      <c r="N232" s="336"/>
      <c r="O232" s="336"/>
      <c r="P232" s="336"/>
      <c r="Q232" s="336"/>
      <c r="R232" s="336"/>
      <c r="S232" s="336"/>
      <c r="T232" s="336"/>
      <c r="U232" s="351"/>
      <c r="V232" s="352" t="s">
        <v>379</v>
      </c>
      <c r="W232" s="323">
        <v>1</v>
      </c>
      <c r="X232" s="324">
        <v>0.45</v>
      </c>
      <c r="Z232" s="48">
        <f t="shared" si="24"/>
        <v>0.45</v>
      </c>
      <c r="AA232" s="48" t="str">
        <f t="shared" si="25"/>
        <v>-</v>
      </c>
      <c r="AB232" s="48" t="str">
        <f t="shared" si="26"/>
        <v>-</v>
      </c>
      <c r="AC232" s="48" t="str">
        <f t="shared" si="27"/>
        <v>-</v>
      </c>
      <c r="AD232" s="48" t="str">
        <f t="shared" si="28"/>
        <v>-</v>
      </c>
      <c r="AE232" s="48" t="str">
        <f t="shared" si="29"/>
        <v>-</v>
      </c>
      <c r="AF232" s="48" t="str">
        <f t="shared" si="30"/>
        <v>-</v>
      </c>
      <c r="AG232" s="48" t="str">
        <f t="shared" si="31"/>
        <v>-</v>
      </c>
    </row>
    <row r="233" spans="1:33" ht="15" thickBot="1" x14ac:dyDescent="0.35">
      <c r="A233" s="574"/>
      <c r="B233" s="346" t="s">
        <v>560</v>
      </c>
      <c r="C233" s="347">
        <v>120</v>
      </c>
      <c r="D233" s="335"/>
      <c r="E233" s="348">
        <v>0.8</v>
      </c>
      <c r="F233" s="349">
        <v>0.6</v>
      </c>
      <c r="G233" s="349">
        <v>0.3</v>
      </c>
      <c r="H233" s="348">
        <v>0.8</v>
      </c>
      <c r="I233" s="347" t="s">
        <v>578</v>
      </c>
      <c r="J233" s="350"/>
      <c r="K233" s="336"/>
      <c r="L233" s="336"/>
      <c r="M233" s="336"/>
      <c r="N233" s="336"/>
      <c r="O233" s="336"/>
      <c r="P233" s="336"/>
      <c r="Q233" s="336"/>
      <c r="R233" s="336"/>
      <c r="S233" s="336"/>
      <c r="T233" s="336"/>
      <c r="U233" s="351"/>
      <c r="V233" s="352" t="s">
        <v>379</v>
      </c>
      <c r="W233" s="323">
        <v>1</v>
      </c>
      <c r="X233" s="324">
        <v>0.56999999999999995</v>
      </c>
      <c r="Z233" s="48">
        <f t="shared" si="24"/>
        <v>0.56999999999999995</v>
      </c>
      <c r="AA233" s="48" t="str">
        <f t="shared" si="25"/>
        <v>-</v>
      </c>
      <c r="AB233" s="48" t="str">
        <f t="shared" si="26"/>
        <v>-</v>
      </c>
      <c r="AC233" s="48" t="str">
        <f t="shared" si="27"/>
        <v>-</v>
      </c>
      <c r="AD233" s="48" t="str">
        <f t="shared" si="28"/>
        <v>-</v>
      </c>
      <c r="AE233" s="48" t="str">
        <f t="shared" si="29"/>
        <v>-</v>
      </c>
      <c r="AF233" s="48" t="str">
        <f t="shared" si="30"/>
        <v>-</v>
      </c>
      <c r="AG233" s="48" t="str">
        <f t="shared" si="31"/>
        <v>-</v>
      </c>
    </row>
    <row r="234" spans="1:33" ht="15" thickBot="1" x14ac:dyDescent="0.35">
      <c r="A234" s="574"/>
      <c r="B234" s="346" t="s">
        <v>560</v>
      </c>
      <c r="C234" s="347">
        <v>128</v>
      </c>
      <c r="D234" s="335"/>
      <c r="E234" s="348">
        <v>0.8</v>
      </c>
      <c r="F234" s="349">
        <v>0.6</v>
      </c>
      <c r="G234" s="349">
        <v>0.3</v>
      </c>
      <c r="H234" s="348">
        <v>0.8</v>
      </c>
      <c r="I234" s="347" t="s">
        <v>578</v>
      </c>
      <c r="J234" s="350"/>
      <c r="K234" s="336"/>
      <c r="L234" s="336"/>
      <c r="M234" s="336"/>
      <c r="N234" s="336"/>
      <c r="O234" s="336"/>
      <c r="P234" s="336"/>
      <c r="Q234" s="336"/>
      <c r="R234" s="336"/>
      <c r="S234" s="336"/>
      <c r="T234" s="336"/>
      <c r="U234" s="351"/>
      <c r="V234" s="352" t="s">
        <v>379</v>
      </c>
      <c r="W234" s="323">
        <v>1</v>
      </c>
      <c r="X234" s="324">
        <v>0.56999999999999995</v>
      </c>
      <c r="Z234" s="48">
        <f t="shared" si="24"/>
        <v>0.56999999999999995</v>
      </c>
      <c r="AA234" s="48" t="str">
        <f t="shared" si="25"/>
        <v>-</v>
      </c>
      <c r="AB234" s="48" t="str">
        <f t="shared" si="26"/>
        <v>-</v>
      </c>
      <c r="AC234" s="48" t="str">
        <f t="shared" si="27"/>
        <v>-</v>
      </c>
      <c r="AD234" s="48" t="str">
        <f t="shared" si="28"/>
        <v>-</v>
      </c>
      <c r="AE234" s="48" t="str">
        <f t="shared" si="29"/>
        <v>-</v>
      </c>
      <c r="AF234" s="48" t="str">
        <f t="shared" si="30"/>
        <v>-</v>
      </c>
      <c r="AG234" s="48" t="str">
        <f t="shared" si="31"/>
        <v>-</v>
      </c>
    </row>
    <row r="235" spans="1:33" ht="15" thickBot="1" x14ac:dyDescent="0.35">
      <c r="A235" s="574"/>
      <c r="B235" s="346" t="s">
        <v>560</v>
      </c>
      <c r="C235" s="347">
        <v>136</v>
      </c>
      <c r="D235" s="335"/>
      <c r="E235" s="348">
        <v>0.8</v>
      </c>
      <c r="F235" s="349">
        <v>0.6</v>
      </c>
      <c r="G235" s="349">
        <v>0.3</v>
      </c>
      <c r="H235" s="348">
        <v>0.8</v>
      </c>
      <c r="I235" s="347" t="s">
        <v>578</v>
      </c>
      <c r="J235" s="350"/>
      <c r="K235" s="336"/>
      <c r="L235" s="336"/>
      <c r="M235" s="336"/>
      <c r="N235" s="336"/>
      <c r="O235" s="336"/>
      <c r="P235" s="336"/>
      <c r="Q235" s="336"/>
      <c r="R235" s="336"/>
      <c r="S235" s="336"/>
      <c r="T235" s="336"/>
      <c r="U235" s="351"/>
      <c r="V235" s="352" t="s">
        <v>379</v>
      </c>
      <c r="W235" s="323">
        <v>1</v>
      </c>
      <c r="X235" s="324">
        <v>0.56999999999999995</v>
      </c>
      <c r="Z235" s="48">
        <f t="shared" si="24"/>
        <v>0.56999999999999995</v>
      </c>
      <c r="AA235" s="48" t="str">
        <f t="shared" si="25"/>
        <v>-</v>
      </c>
      <c r="AB235" s="48" t="str">
        <f t="shared" si="26"/>
        <v>-</v>
      </c>
      <c r="AC235" s="48" t="str">
        <f t="shared" si="27"/>
        <v>-</v>
      </c>
      <c r="AD235" s="48" t="str">
        <f t="shared" si="28"/>
        <v>-</v>
      </c>
      <c r="AE235" s="48" t="str">
        <f t="shared" si="29"/>
        <v>-</v>
      </c>
      <c r="AF235" s="48" t="str">
        <f t="shared" si="30"/>
        <v>-</v>
      </c>
      <c r="AG235" s="48" t="str">
        <f t="shared" si="31"/>
        <v>-</v>
      </c>
    </row>
    <row r="236" spans="1:33" ht="15" thickBot="1" x14ac:dyDescent="0.35">
      <c r="A236" s="574"/>
      <c r="B236" s="346" t="s">
        <v>560</v>
      </c>
      <c r="C236" s="347">
        <v>144</v>
      </c>
      <c r="D236" s="335"/>
      <c r="E236" s="348">
        <v>0.8</v>
      </c>
      <c r="F236" s="349">
        <v>0.6</v>
      </c>
      <c r="G236" s="349">
        <v>0.3</v>
      </c>
      <c r="H236" s="348">
        <v>0.8</v>
      </c>
      <c r="I236" s="347" t="s">
        <v>578</v>
      </c>
      <c r="J236" s="350"/>
      <c r="K236" s="336"/>
      <c r="L236" s="336"/>
      <c r="M236" s="336"/>
      <c r="N236" s="336"/>
      <c r="O236" s="336"/>
      <c r="P236" s="336"/>
      <c r="Q236" s="336"/>
      <c r="R236" s="336"/>
      <c r="S236" s="336"/>
      <c r="T236" s="336"/>
      <c r="U236" s="351"/>
      <c r="V236" s="352" t="s">
        <v>379</v>
      </c>
      <c r="W236" s="323">
        <v>1</v>
      </c>
      <c r="X236" s="324">
        <v>0.56999999999999995</v>
      </c>
      <c r="Z236" s="48">
        <f t="shared" si="24"/>
        <v>0.56999999999999995</v>
      </c>
      <c r="AA236" s="48" t="str">
        <f t="shared" si="25"/>
        <v>-</v>
      </c>
      <c r="AB236" s="48" t="str">
        <f t="shared" si="26"/>
        <v>-</v>
      </c>
      <c r="AC236" s="48" t="str">
        <f t="shared" si="27"/>
        <v>-</v>
      </c>
      <c r="AD236" s="48" t="str">
        <f t="shared" si="28"/>
        <v>-</v>
      </c>
      <c r="AE236" s="48" t="str">
        <f t="shared" si="29"/>
        <v>-</v>
      </c>
      <c r="AF236" s="48" t="str">
        <f t="shared" si="30"/>
        <v>-</v>
      </c>
      <c r="AG236" s="48" t="str">
        <f t="shared" si="31"/>
        <v>-</v>
      </c>
    </row>
    <row r="237" spans="1:33" ht="15" thickBot="1" x14ac:dyDescent="0.35">
      <c r="A237" s="574"/>
      <c r="B237" s="346" t="s">
        <v>560</v>
      </c>
      <c r="C237" s="347">
        <v>152</v>
      </c>
      <c r="D237" s="335"/>
      <c r="E237" s="348">
        <v>0.8</v>
      </c>
      <c r="F237" s="349">
        <v>0.6</v>
      </c>
      <c r="G237" s="349">
        <v>0.3</v>
      </c>
      <c r="H237" s="348">
        <v>0.8</v>
      </c>
      <c r="I237" s="347" t="s">
        <v>578</v>
      </c>
      <c r="J237" s="350"/>
      <c r="K237" s="336"/>
      <c r="L237" s="336"/>
      <c r="M237" s="336"/>
      <c r="N237" s="336"/>
      <c r="O237" s="336"/>
      <c r="P237" s="336"/>
      <c r="Q237" s="336"/>
      <c r="R237" s="336"/>
      <c r="S237" s="336"/>
      <c r="T237" s="336"/>
      <c r="U237" s="351"/>
      <c r="V237" s="352" t="s">
        <v>379</v>
      </c>
      <c r="W237" s="323">
        <v>1</v>
      </c>
      <c r="X237" s="324">
        <v>0.56999999999999995</v>
      </c>
      <c r="Z237" s="48">
        <f t="shared" si="24"/>
        <v>0.56999999999999995</v>
      </c>
      <c r="AA237" s="48" t="str">
        <f t="shared" si="25"/>
        <v>-</v>
      </c>
      <c r="AB237" s="48" t="str">
        <f t="shared" si="26"/>
        <v>-</v>
      </c>
      <c r="AC237" s="48" t="str">
        <f t="shared" si="27"/>
        <v>-</v>
      </c>
      <c r="AD237" s="48" t="str">
        <f t="shared" si="28"/>
        <v>-</v>
      </c>
      <c r="AE237" s="48" t="str">
        <f t="shared" si="29"/>
        <v>-</v>
      </c>
      <c r="AF237" s="48" t="str">
        <f t="shared" si="30"/>
        <v>-</v>
      </c>
      <c r="AG237" s="48" t="str">
        <f t="shared" si="31"/>
        <v>-</v>
      </c>
    </row>
    <row r="238" spans="1:33" ht="15" thickBot="1" x14ac:dyDescent="0.35">
      <c r="A238" s="574"/>
      <c r="B238" s="346" t="s">
        <v>560</v>
      </c>
      <c r="C238" s="347">
        <v>160</v>
      </c>
      <c r="D238" s="335"/>
      <c r="E238" s="348">
        <v>0.8</v>
      </c>
      <c r="F238" s="349">
        <v>0.6</v>
      </c>
      <c r="G238" s="349">
        <v>0.3</v>
      </c>
      <c r="H238" s="348">
        <v>0.8</v>
      </c>
      <c r="I238" s="347" t="s">
        <v>578</v>
      </c>
      <c r="J238" s="350"/>
      <c r="K238" s="336"/>
      <c r="L238" s="336"/>
      <c r="M238" s="336"/>
      <c r="N238" s="336"/>
      <c r="O238" s="336"/>
      <c r="P238" s="336"/>
      <c r="Q238" s="336"/>
      <c r="R238" s="336"/>
      <c r="S238" s="336"/>
      <c r="T238" s="336"/>
      <c r="U238" s="351"/>
      <c r="V238" s="352" t="s">
        <v>379</v>
      </c>
      <c r="W238" s="323">
        <v>1</v>
      </c>
      <c r="X238" s="324">
        <v>0.56999999999999995</v>
      </c>
      <c r="Z238" s="48">
        <f t="shared" si="24"/>
        <v>0.56999999999999995</v>
      </c>
      <c r="AA238" s="48" t="str">
        <f t="shared" si="25"/>
        <v>-</v>
      </c>
      <c r="AB238" s="48" t="str">
        <f t="shared" si="26"/>
        <v>-</v>
      </c>
      <c r="AC238" s="48" t="str">
        <f t="shared" si="27"/>
        <v>-</v>
      </c>
      <c r="AD238" s="48" t="str">
        <f t="shared" si="28"/>
        <v>-</v>
      </c>
      <c r="AE238" s="48" t="str">
        <f t="shared" si="29"/>
        <v>-</v>
      </c>
      <c r="AF238" s="48" t="str">
        <f t="shared" si="30"/>
        <v>-</v>
      </c>
      <c r="AG238" s="48" t="str">
        <f t="shared" si="31"/>
        <v>-</v>
      </c>
    </row>
    <row r="239" spans="1:33" ht="15" thickBot="1" x14ac:dyDescent="0.35">
      <c r="A239" s="574"/>
      <c r="B239" s="346" t="s">
        <v>560</v>
      </c>
      <c r="C239" s="347">
        <v>168</v>
      </c>
      <c r="D239" s="335"/>
      <c r="E239" s="348">
        <v>0.8</v>
      </c>
      <c r="F239" s="349">
        <v>0.6</v>
      </c>
      <c r="G239" s="349">
        <v>0.3</v>
      </c>
      <c r="H239" s="348">
        <v>0.8</v>
      </c>
      <c r="I239" s="347" t="s">
        <v>578</v>
      </c>
      <c r="J239" s="350"/>
      <c r="K239" s="336"/>
      <c r="L239" s="336"/>
      <c r="M239" s="336"/>
      <c r="N239" s="336"/>
      <c r="O239" s="336"/>
      <c r="P239" s="336"/>
      <c r="Q239" s="336"/>
      <c r="R239" s="336"/>
      <c r="S239" s="336"/>
      <c r="T239" s="336"/>
      <c r="U239" s="351"/>
      <c r="V239" s="352" t="s">
        <v>379</v>
      </c>
      <c r="W239" s="323">
        <v>1</v>
      </c>
      <c r="X239" s="324">
        <v>0.56999999999999995</v>
      </c>
      <c r="Z239" s="48">
        <f t="shared" si="24"/>
        <v>0.56999999999999995</v>
      </c>
      <c r="AA239" s="48" t="str">
        <f t="shared" si="25"/>
        <v>-</v>
      </c>
      <c r="AB239" s="48" t="str">
        <f t="shared" si="26"/>
        <v>-</v>
      </c>
      <c r="AC239" s="48" t="str">
        <f t="shared" si="27"/>
        <v>-</v>
      </c>
      <c r="AD239" s="48" t="str">
        <f t="shared" si="28"/>
        <v>-</v>
      </c>
      <c r="AE239" s="48" t="str">
        <f t="shared" si="29"/>
        <v>-</v>
      </c>
      <c r="AF239" s="48" t="str">
        <f t="shared" si="30"/>
        <v>-</v>
      </c>
      <c r="AG239" s="48" t="str">
        <f t="shared" si="31"/>
        <v>-</v>
      </c>
    </row>
    <row r="240" spans="1:33" ht="15" thickBot="1" x14ac:dyDescent="0.35">
      <c r="A240" s="574"/>
      <c r="B240" s="346" t="s">
        <v>560</v>
      </c>
      <c r="C240" s="347">
        <v>176</v>
      </c>
      <c r="D240" s="335"/>
      <c r="E240" s="348">
        <v>0.8</v>
      </c>
      <c r="F240" s="349">
        <v>0.6</v>
      </c>
      <c r="G240" s="349">
        <v>0.3</v>
      </c>
      <c r="H240" s="348">
        <v>0.8</v>
      </c>
      <c r="I240" s="347" t="s">
        <v>578</v>
      </c>
      <c r="J240" s="350"/>
      <c r="K240" s="336"/>
      <c r="L240" s="336"/>
      <c r="M240" s="336"/>
      <c r="N240" s="336"/>
      <c r="O240" s="336"/>
      <c r="P240" s="336"/>
      <c r="Q240" s="336"/>
      <c r="R240" s="336"/>
      <c r="S240" s="336"/>
      <c r="T240" s="336"/>
      <c r="U240" s="351"/>
      <c r="V240" s="352" t="s">
        <v>379</v>
      </c>
      <c r="W240" s="323">
        <v>1</v>
      </c>
      <c r="X240" s="324">
        <v>0.56999999999999995</v>
      </c>
      <c r="Z240" s="48">
        <f t="shared" si="24"/>
        <v>0.56999999999999995</v>
      </c>
      <c r="AA240" s="48" t="str">
        <f t="shared" si="25"/>
        <v>-</v>
      </c>
      <c r="AB240" s="48" t="str">
        <f t="shared" si="26"/>
        <v>-</v>
      </c>
      <c r="AC240" s="48" t="str">
        <f t="shared" si="27"/>
        <v>-</v>
      </c>
      <c r="AD240" s="48" t="str">
        <f t="shared" si="28"/>
        <v>-</v>
      </c>
      <c r="AE240" s="48" t="str">
        <f t="shared" si="29"/>
        <v>-</v>
      </c>
      <c r="AF240" s="48" t="str">
        <f t="shared" si="30"/>
        <v>-</v>
      </c>
      <c r="AG240" s="48" t="str">
        <f t="shared" si="31"/>
        <v>-</v>
      </c>
    </row>
    <row r="241" spans="1:33" ht="15" thickBot="1" x14ac:dyDescent="0.35">
      <c r="A241" s="574"/>
      <c r="B241" s="346" t="s">
        <v>560</v>
      </c>
      <c r="C241" s="347">
        <v>184</v>
      </c>
      <c r="D241" s="335"/>
      <c r="E241" s="348">
        <v>0.8</v>
      </c>
      <c r="F241" s="349">
        <v>0.6</v>
      </c>
      <c r="G241" s="349">
        <v>0.3</v>
      </c>
      <c r="H241" s="348">
        <v>0.8</v>
      </c>
      <c r="I241" s="347" t="s">
        <v>578</v>
      </c>
      <c r="J241" s="350"/>
      <c r="K241" s="336"/>
      <c r="L241" s="336"/>
      <c r="M241" s="336"/>
      <c r="N241" s="336"/>
      <c r="O241" s="336"/>
      <c r="P241" s="336"/>
      <c r="Q241" s="336"/>
      <c r="R241" s="336"/>
      <c r="S241" s="336"/>
      <c r="T241" s="336"/>
      <c r="U241" s="351"/>
      <c r="V241" s="352" t="s">
        <v>379</v>
      </c>
      <c r="W241" s="323">
        <v>1</v>
      </c>
      <c r="X241" s="324">
        <v>0.56999999999999995</v>
      </c>
      <c r="Z241" s="48">
        <f t="shared" si="24"/>
        <v>0.56999999999999995</v>
      </c>
      <c r="AA241" s="48" t="str">
        <f t="shared" si="25"/>
        <v>-</v>
      </c>
      <c r="AB241" s="48" t="str">
        <f t="shared" si="26"/>
        <v>-</v>
      </c>
      <c r="AC241" s="48" t="str">
        <f t="shared" si="27"/>
        <v>-</v>
      </c>
      <c r="AD241" s="48" t="str">
        <f t="shared" si="28"/>
        <v>-</v>
      </c>
      <c r="AE241" s="48" t="str">
        <f t="shared" si="29"/>
        <v>-</v>
      </c>
      <c r="AF241" s="48" t="str">
        <f t="shared" si="30"/>
        <v>-</v>
      </c>
      <c r="AG241" s="48" t="str">
        <f t="shared" si="31"/>
        <v>-</v>
      </c>
    </row>
    <row r="242" spans="1:33" ht="15" thickBot="1" x14ac:dyDescent="0.35">
      <c r="A242" s="574"/>
      <c r="B242" s="346" t="s">
        <v>561</v>
      </c>
      <c r="C242" s="347">
        <v>185</v>
      </c>
      <c r="D242" s="335"/>
      <c r="E242" s="348">
        <v>0.8</v>
      </c>
      <c r="F242" s="349">
        <v>0.6</v>
      </c>
      <c r="G242" s="349">
        <v>0.3</v>
      </c>
      <c r="H242" s="348">
        <v>0.8</v>
      </c>
      <c r="I242" s="347" t="s">
        <v>578</v>
      </c>
      <c r="J242" s="350"/>
      <c r="K242" s="336"/>
      <c r="L242" s="336"/>
      <c r="M242" s="336"/>
      <c r="N242" s="336"/>
      <c r="O242" s="336"/>
      <c r="P242" s="336"/>
      <c r="Q242" s="336"/>
      <c r="R242" s="336"/>
      <c r="S242" s="336"/>
      <c r="T242" s="336"/>
      <c r="U242" s="351"/>
      <c r="V242" s="352" t="s">
        <v>379</v>
      </c>
      <c r="W242" s="323"/>
      <c r="X242" s="324">
        <v>8.5399999999999991</v>
      </c>
      <c r="Z242" s="48">
        <f t="shared" si="24"/>
        <v>8.5399999999999991</v>
      </c>
      <c r="AA242" s="48" t="str">
        <f t="shared" si="25"/>
        <v>-</v>
      </c>
      <c r="AB242" s="48" t="str">
        <f t="shared" si="26"/>
        <v>-</v>
      </c>
      <c r="AC242" s="48" t="str">
        <f t="shared" si="27"/>
        <v>-</v>
      </c>
      <c r="AD242" s="48" t="str">
        <f t="shared" si="28"/>
        <v>-</v>
      </c>
      <c r="AE242" s="48" t="str">
        <f t="shared" si="29"/>
        <v>-</v>
      </c>
      <c r="AF242" s="48" t="str">
        <f t="shared" si="30"/>
        <v>-</v>
      </c>
      <c r="AG242" s="48" t="str">
        <f t="shared" si="31"/>
        <v>-</v>
      </c>
    </row>
    <row r="243" spans="1:33" ht="15" thickBot="1" x14ac:dyDescent="0.35">
      <c r="A243" s="577"/>
      <c r="B243" s="353" t="s">
        <v>561</v>
      </c>
      <c r="C243" s="354">
        <v>196</v>
      </c>
      <c r="D243" s="355"/>
      <c r="E243" s="356">
        <v>0.8</v>
      </c>
      <c r="F243" s="357">
        <v>0.6</v>
      </c>
      <c r="G243" s="357">
        <v>0.3</v>
      </c>
      <c r="H243" s="356">
        <v>0.8</v>
      </c>
      <c r="I243" s="354" t="s">
        <v>578</v>
      </c>
      <c r="J243" s="358"/>
      <c r="K243" s="359"/>
      <c r="L243" s="359"/>
      <c r="M243" s="359"/>
      <c r="N243" s="359"/>
      <c r="O243" s="359"/>
      <c r="P243" s="359"/>
      <c r="Q243" s="359"/>
      <c r="R243" s="359"/>
      <c r="S243" s="359"/>
      <c r="T243" s="359"/>
      <c r="U243" s="360"/>
      <c r="V243" s="361" t="s">
        <v>379</v>
      </c>
      <c r="W243" s="325"/>
      <c r="X243" s="326">
        <v>8.41</v>
      </c>
      <c r="Z243" s="48">
        <f t="shared" si="24"/>
        <v>8.41</v>
      </c>
      <c r="AA243" s="48" t="str">
        <f t="shared" si="25"/>
        <v>-</v>
      </c>
      <c r="AB243" s="48" t="str">
        <f t="shared" si="26"/>
        <v>-</v>
      </c>
      <c r="AC243" s="48" t="str">
        <f t="shared" si="27"/>
        <v>-</v>
      </c>
      <c r="AD243" s="48" t="str">
        <f t="shared" si="28"/>
        <v>-</v>
      </c>
      <c r="AE243" s="48" t="str">
        <f t="shared" si="29"/>
        <v>-</v>
      </c>
      <c r="AF243" s="48" t="str">
        <f t="shared" si="30"/>
        <v>-</v>
      </c>
      <c r="AG243" s="48" t="str">
        <f t="shared" si="31"/>
        <v>-</v>
      </c>
    </row>
    <row r="244" spans="1:33" ht="15" thickBot="1" x14ac:dyDescent="0.35">
      <c r="A244" s="573" t="s">
        <v>386</v>
      </c>
      <c r="B244" s="362" t="s">
        <v>562</v>
      </c>
      <c r="C244" s="363">
        <v>130</v>
      </c>
      <c r="D244" s="335"/>
      <c r="E244" s="364">
        <v>0.8</v>
      </c>
      <c r="F244" s="365">
        <v>0.6</v>
      </c>
      <c r="G244" s="365">
        <v>0.3</v>
      </c>
      <c r="H244" s="364">
        <v>0.8</v>
      </c>
      <c r="I244" s="363" t="s">
        <v>578</v>
      </c>
      <c r="J244" s="366"/>
      <c r="K244" s="336"/>
      <c r="L244" s="336"/>
      <c r="M244" s="336"/>
      <c r="N244" s="336"/>
      <c r="O244" s="336"/>
      <c r="P244" s="336"/>
      <c r="Q244" s="336"/>
      <c r="R244" s="336"/>
      <c r="S244" s="336"/>
      <c r="T244" s="336"/>
      <c r="U244" s="351"/>
      <c r="V244" s="352" t="s">
        <v>379</v>
      </c>
      <c r="W244" s="327">
        <v>1</v>
      </c>
      <c r="X244" s="328">
        <v>0.71</v>
      </c>
      <c r="Z244" s="48">
        <f t="shared" si="24"/>
        <v>0.71</v>
      </c>
      <c r="AA244" s="48" t="str">
        <f t="shared" si="25"/>
        <v>-</v>
      </c>
      <c r="AB244" s="48" t="str">
        <f t="shared" si="26"/>
        <v>-</v>
      </c>
      <c r="AC244" s="48" t="str">
        <f t="shared" si="27"/>
        <v>-</v>
      </c>
      <c r="AD244" s="48" t="str">
        <f t="shared" si="28"/>
        <v>-</v>
      </c>
      <c r="AE244" s="48" t="str">
        <f t="shared" si="29"/>
        <v>-</v>
      </c>
      <c r="AF244" s="48" t="str">
        <f t="shared" si="30"/>
        <v>-</v>
      </c>
      <c r="AG244" s="48" t="str">
        <f t="shared" si="31"/>
        <v>-</v>
      </c>
    </row>
    <row r="245" spans="1:33" ht="15" thickBot="1" x14ac:dyDescent="0.35">
      <c r="A245" s="574"/>
      <c r="B245" s="346" t="s">
        <v>562</v>
      </c>
      <c r="C245" s="347">
        <v>116</v>
      </c>
      <c r="D245" s="335"/>
      <c r="E245" s="348">
        <v>0.8</v>
      </c>
      <c r="F245" s="349">
        <v>0.6</v>
      </c>
      <c r="G245" s="349">
        <v>0.3</v>
      </c>
      <c r="H245" s="348">
        <v>0.8</v>
      </c>
      <c r="I245" s="347" t="s">
        <v>578</v>
      </c>
      <c r="J245" s="350"/>
      <c r="K245" s="336"/>
      <c r="L245" s="336"/>
      <c r="M245" s="336"/>
      <c r="N245" s="336"/>
      <c r="O245" s="336"/>
      <c r="P245" s="336"/>
      <c r="Q245" s="336"/>
      <c r="R245" s="336"/>
      <c r="S245" s="336"/>
      <c r="T245" s="336"/>
      <c r="U245" s="351"/>
      <c r="V245" s="352" t="s">
        <v>379</v>
      </c>
      <c r="W245" s="323">
        <v>1</v>
      </c>
      <c r="X245" s="328">
        <v>0.71</v>
      </c>
      <c r="Z245" s="48">
        <f t="shared" si="24"/>
        <v>0.71</v>
      </c>
      <c r="AA245" s="48" t="str">
        <f t="shared" si="25"/>
        <v>-</v>
      </c>
      <c r="AB245" s="48" t="str">
        <f t="shared" si="26"/>
        <v>-</v>
      </c>
      <c r="AC245" s="48" t="str">
        <f t="shared" si="27"/>
        <v>-</v>
      </c>
      <c r="AD245" s="48" t="str">
        <f t="shared" si="28"/>
        <v>-</v>
      </c>
      <c r="AE245" s="48" t="str">
        <f t="shared" si="29"/>
        <v>-</v>
      </c>
      <c r="AF245" s="48" t="str">
        <f t="shared" si="30"/>
        <v>-</v>
      </c>
      <c r="AG245" s="48" t="str">
        <f t="shared" si="31"/>
        <v>-</v>
      </c>
    </row>
    <row r="246" spans="1:33" ht="15" thickBot="1" x14ac:dyDescent="0.35">
      <c r="A246" s="574"/>
      <c r="B246" s="346" t="s">
        <v>562</v>
      </c>
      <c r="C246" s="347">
        <v>126</v>
      </c>
      <c r="D246" s="335"/>
      <c r="E246" s="348">
        <v>0.8</v>
      </c>
      <c r="F246" s="349">
        <v>0.6</v>
      </c>
      <c r="G246" s="349">
        <v>0.3</v>
      </c>
      <c r="H246" s="348">
        <v>0.8</v>
      </c>
      <c r="I246" s="347"/>
      <c r="J246" s="350" t="s">
        <v>578</v>
      </c>
      <c r="K246" s="336"/>
      <c r="L246" s="336"/>
      <c r="M246" s="336"/>
      <c r="N246" s="336"/>
      <c r="O246" s="336"/>
      <c r="P246" s="336"/>
      <c r="Q246" s="336"/>
      <c r="R246" s="336"/>
      <c r="S246" s="336"/>
      <c r="T246" s="336"/>
      <c r="U246" s="351"/>
      <c r="V246" s="352" t="s">
        <v>122</v>
      </c>
      <c r="W246" s="323">
        <v>1</v>
      </c>
      <c r="X246" s="328">
        <v>0.71</v>
      </c>
      <c r="Z246" s="48" t="str">
        <f t="shared" si="24"/>
        <v>-</v>
      </c>
      <c r="AA246" s="48">
        <f t="shared" si="25"/>
        <v>0.71</v>
      </c>
      <c r="AB246" s="48" t="str">
        <f t="shared" si="26"/>
        <v>-</v>
      </c>
      <c r="AC246" s="48" t="str">
        <f t="shared" si="27"/>
        <v>-</v>
      </c>
      <c r="AD246" s="48" t="str">
        <f t="shared" si="28"/>
        <v>-</v>
      </c>
      <c r="AE246" s="48" t="str">
        <f t="shared" si="29"/>
        <v>-</v>
      </c>
      <c r="AF246" s="48" t="str">
        <f t="shared" si="30"/>
        <v>-</v>
      </c>
      <c r="AG246" s="48" t="str">
        <f t="shared" si="31"/>
        <v>-</v>
      </c>
    </row>
    <row r="247" spans="1:33" ht="15" thickBot="1" x14ac:dyDescent="0.35">
      <c r="A247" s="574"/>
      <c r="B247" s="346" t="s">
        <v>562</v>
      </c>
      <c r="C247" s="347">
        <v>134</v>
      </c>
      <c r="D247" s="335"/>
      <c r="E247" s="348">
        <v>0.8</v>
      </c>
      <c r="F247" s="349">
        <v>0.6</v>
      </c>
      <c r="G247" s="349">
        <v>0.3</v>
      </c>
      <c r="H247" s="348">
        <v>0.8</v>
      </c>
      <c r="I247" s="347" t="s">
        <v>578</v>
      </c>
      <c r="J247" s="350"/>
      <c r="K247" s="336"/>
      <c r="L247" s="336"/>
      <c r="M247" s="336"/>
      <c r="N247" s="336"/>
      <c r="O247" s="336"/>
      <c r="P247" s="336"/>
      <c r="Q247" s="336"/>
      <c r="R247" s="336"/>
      <c r="S247" s="336"/>
      <c r="T247" s="336"/>
      <c r="U247" s="351"/>
      <c r="V247" s="352" t="s">
        <v>379</v>
      </c>
      <c r="W247" s="323">
        <v>1</v>
      </c>
      <c r="X247" s="328">
        <v>0.71</v>
      </c>
      <c r="Z247" s="48">
        <f t="shared" si="24"/>
        <v>0.71</v>
      </c>
      <c r="AA247" s="48" t="str">
        <f t="shared" si="25"/>
        <v>-</v>
      </c>
      <c r="AB247" s="48" t="str">
        <f t="shared" si="26"/>
        <v>-</v>
      </c>
      <c r="AC247" s="48" t="str">
        <f t="shared" si="27"/>
        <v>-</v>
      </c>
      <c r="AD247" s="48" t="str">
        <f t="shared" si="28"/>
        <v>-</v>
      </c>
      <c r="AE247" s="48" t="str">
        <f t="shared" si="29"/>
        <v>-</v>
      </c>
      <c r="AF247" s="48" t="str">
        <f t="shared" si="30"/>
        <v>-</v>
      </c>
      <c r="AG247" s="48" t="str">
        <f t="shared" si="31"/>
        <v>-</v>
      </c>
    </row>
    <row r="248" spans="1:33" ht="15" thickBot="1" x14ac:dyDescent="0.35">
      <c r="A248" s="574"/>
      <c r="B248" s="346" t="s">
        <v>562</v>
      </c>
      <c r="C248" s="347">
        <v>142</v>
      </c>
      <c r="D248" s="335"/>
      <c r="E248" s="348">
        <v>0.8</v>
      </c>
      <c r="F248" s="349">
        <v>0.6</v>
      </c>
      <c r="G248" s="349">
        <v>0.3</v>
      </c>
      <c r="H248" s="348">
        <v>0.8</v>
      </c>
      <c r="I248" s="347" t="s">
        <v>578</v>
      </c>
      <c r="J248" s="350"/>
      <c r="K248" s="336"/>
      <c r="L248" s="336"/>
      <c r="M248" s="336"/>
      <c r="N248" s="336"/>
      <c r="O248" s="336"/>
      <c r="P248" s="336"/>
      <c r="Q248" s="336"/>
      <c r="R248" s="336"/>
      <c r="S248" s="336"/>
      <c r="T248" s="336"/>
      <c r="U248" s="351"/>
      <c r="V248" s="352" t="s">
        <v>379</v>
      </c>
      <c r="W248" s="323">
        <v>1</v>
      </c>
      <c r="X248" s="328">
        <v>0.71</v>
      </c>
      <c r="Z248" s="48">
        <f t="shared" si="24"/>
        <v>0.71</v>
      </c>
      <c r="AA248" s="48" t="str">
        <f t="shared" si="25"/>
        <v>-</v>
      </c>
      <c r="AB248" s="48" t="str">
        <f t="shared" si="26"/>
        <v>-</v>
      </c>
      <c r="AC248" s="48" t="str">
        <f t="shared" si="27"/>
        <v>-</v>
      </c>
      <c r="AD248" s="48" t="str">
        <f t="shared" si="28"/>
        <v>-</v>
      </c>
      <c r="AE248" s="48" t="str">
        <f t="shared" si="29"/>
        <v>-</v>
      </c>
      <c r="AF248" s="48" t="str">
        <f t="shared" si="30"/>
        <v>-</v>
      </c>
      <c r="AG248" s="48" t="str">
        <f t="shared" si="31"/>
        <v>-</v>
      </c>
    </row>
    <row r="249" spans="1:33" ht="15" thickBot="1" x14ac:dyDescent="0.35">
      <c r="A249" s="574"/>
      <c r="B249" s="346" t="s">
        <v>562</v>
      </c>
      <c r="C249" s="347">
        <v>150</v>
      </c>
      <c r="D249" s="335"/>
      <c r="E249" s="348">
        <v>0.8</v>
      </c>
      <c r="F249" s="349">
        <v>0.6</v>
      </c>
      <c r="G249" s="349">
        <v>0.3</v>
      </c>
      <c r="H249" s="348">
        <v>0.8</v>
      </c>
      <c r="I249" s="347" t="s">
        <v>578</v>
      </c>
      <c r="J249" s="350"/>
      <c r="K249" s="336"/>
      <c r="L249" s="336"/>
      <c r="M249" s="336"/>
      <c r="N249" s="336"/>
      <c r="O249" s="336"/>
      <c r="P249" s="336"/>
      <c r="Q249" s="336"/>
      <c r="R249" s="336"/>
      <c r="S249" s="336"/>
      <c r="T249" s="336"/>
      <c r="U249" s="351"/>
      <c r="V249" s="352" t="s">
        <v>379</v>
      </c>
      <c r="W249" s="323">
        <v>1</v>
      </c>
      <c r="X249" s="328">
        <v>0.71</v>
      </c>
      <c r="Z249" s="48">
        <f t="shared" si="24"/>
        <v>0.71</v>
      </c>
      <c r="AA249" s="48" t="str">
        <f t="shared" si="25"/>
        <v>-</v>
      </c>
      <c r="AB249" s="48" t="str">
        <f t="shared" si="26"/>
        <v>-</v>
      </c>
      <c r="AC249" s="48" t="str">
        <f t="shared" si="27"/>
        <v>-</v>
      </c>
      <c r="AD249" s="48" t="str">
        <f t="shared" si="28"/>
        <v>-</v>
      </c>
      <c r="AE249" s="48" t="str">
        <f t="shared" si="29"/>
        <v>-</v>
      </c>
      <c r="AF249" s="48" t="str">
        <f t="shared" si="30"/>
        <v>-</v>
      </c>
      <c r="AG249" s="48" t="str">
        <f t="shared" si="31"/>
        <v>-</v>
      </c>
    </row>
    <row r="250" spans="1:33" ht="15" thickBot="1" x14ac:dyDescent="0.35">
      <c r="A250" s="574"/>
      <c r="B250" s="346" t="s">
        <v>562</v>
      </c>
      <c r="C250" s="347">
        <v>158</v>
      </c>
      <c r="D250" s="335"/>
      <c r="E250" s="348">
        <v>0.8</v>
      </c>
      <c r="F250" s="349">
        <v>0.6</v>
      </c>
      <c r="G250" s="349">
        <v>0.3</v>
      </c>
      <c r="H250" s="348">
        <v>0.8</v>
      </c>
      <c r="I250" s="347" t="s">
        <v>578</v>
      </c>
      <c r="J250" s="350"/>
      <c r="K250" s="336"/>
      <c r="L250" s="336"/>
      <c r="M250" s="336"/>
      <c r="N250" s="336"/>
      <c r="O250" s="336"/>
      <c r="P250" s="336"/>
      <c r="Q250" s="336"/>
      <c r="R250" s="336"/>
      <c r="S250" s="336"/>
      <c r="T250" s="336"/>
      <c r="U250" s="351"/>
      <c r="V250" s="352" t="s">
        <v>379</v>
      </c>
      <c r="W250" s="323">
        <v>1</v>
      </c>
      <c r="X250" s="328">
        <v>0.71</v>
      </c>
      <c r="Z250" s="48">
        <f t="shared" si="24"/>
        <v>0.71</v>
      </c>
      <c r="AA250" s="48" t="str">
        <f t="shared" si="25"/>
        <v>-</v>
      </c>
      <c r="AB250" s="48" t="str">
        <f t="shared" si="26"/>
        <v>-</v>
      </c>
      <c r="AC250" s="48" t="str">
        <f t="shared" si="27"/>
        <v>-</v>
      </c>
      <c r="AD250" s="48" t="str">
        <f t="shared" si="28"/>
        <v>-</v>
      </c>
      <c r="AE250" s="48" t="str">
        <f t="shared" si="29"/>
        <v>-</v>
      </c>
      <c r="AF250" s="48" t="str">
        <f t="shared" si="30"/>
        <v>-</v>
      </c>
      <c r="AG250" s="48" t="str">
        <f t="shared" si="31"/>
        <v>-</v>
      </c>
    </row>
    <row r="251" spans="1:33" ht="15" thickBot="1" x14ac:dyDescent="0.35">
      <c r="A251" s="574"/>
      <c r="B251" s="346" t="s">
        <v>562</v>
      </c>
      <c r="C251" s="347">
        <v>166</v>
      </c>
      <c r="D251" s="335"/>
      <c r="E251" s="348">
        <v>0.8</v>
      </c>
      <c r="F251" s="349">
        <v>0.6</v>
      </c>
      <c r="G251" s="349">
        <v>0.3</v>
      </c>
      <c r="H251" s="348">
        <v>0.8</v>
      </c>
      <c r="I251" s="347" t="s">
        <v>578</v>
      </c>
      <c r="J251" s="350"/>
      <c r="K251" s="336"/>
      <c r="L251" s="336"/>
      <c r="M251" s="336"/>
      <c r="N251" s="336"/>
      <c r="O251" s="336"/>
      <c r="P251" s="336"/>
      <c r="Q251" s="336"/>
      <c r="R251" s="336"/>
      <c r="S251" s="336"/>
      <c r="T251" s="336"/>
      <c r="U251" s="351"/>
      <c r="V251" s="352" t="s">
        <v>379</v>
      </c>
      <c r="W251" s="323">
        <v>1</v>
      </c>
      <c r="X251" s="328">
        <v>0.71</v>
      </c>
      <c r="Z251" s="48">
        <f t="shared" si="24"/>
        <v>0.71</v>
      </c>
      <c r="AA251" s="48" t="str">
        <f t="shared" si="25"/>
        <v>-</v>
      </c>
      <c r="AB251" s="48" t="str">
        <f t="shared" si="26"/>
        <v>-</v>
      </c>
      <c r="AC251" s="48" t="str">
        <f t="shared" si="27"/>
        <v>-</v>
      </c>
      <c r="AD251" s="48" t="str">
        <f t="shared" si="28"/>
        <v>-</v>
      </c>
      <c r="AE251" s="48" t="str">
        <f t="shared" si="29"/>
        <v>-</v>
      </c>
      <c r="AF251" s="48" t="str">
        <f t="shared" si="30"/>
        <v>-</v>
      </c>
      <c r="AG251" s="48" t="str">
        <f t="shared" si="31"/>
        <v>-</v>
      </c>
    </row>
    <row r="252" spans="1:33" ht="15" thickBot="1" x14ac:dyDescent="0.35">
      <c r="A252" s="574"/>
      <c r="B252" s="346" t="s">
        <v>562</v>
      </c>
      <c r="C252" s="347">
        <v>174</v>
      </c>
      <c r="D252" s="335"/>
      <c r="E252" s="348">
        <v>0.8</v>
      </c>
      <c r="F252" s="349">
        <v>0.6</v>
      </c>
      <c r="G252" s="349">
        <v>0.3</v>
      </c>
      <c r="H252" s="348">
        <v>0.8</v>
      </c>
      <c r="I252" s="347" t="s">
        <v>578</v>
      </c>
      <c r="J252" s="350"/>
      <c r="K252" s="336"/>
      <c r="L252" s="336"/>
      <c r="M252" s="336"/>
      <c r="N252" s="336"/>
      <c r="O252" s="336"/>
      <c r="P252" s="336"/>
      <c r="Q252" s="336"/>
      <c r="R252" s="336"/>
      <c r="S252" s="336"/>
      <c r="T252" s="336"/>
      <c r="U252" s="351"/>
      <c r="V252" s="352" t="s">
        <v>379</v>
      </c>
      <c r="W252" s="323">
        <v>1</v>
      </c>
      <c r="X252" s="328">
        <v>0.71</v>
      </c>
      <c r="Z252" s="48">
        <f t="shared" si="24"/>
        <v>0.71</v>
      </c>
      <c r="AA252" s="48" t="str">
        <f t="shared" si="25"/>
        <v>-</v>
      </c>
      <c r="AB252" s="48" t="str">
        <f t="shared" si="26"/>
        <v>-</v>
      </c>
      <c r="AC252" s="48" t="str">
        <f t="shared" si="27"/>
        <v>-</v>
      </c>
      <c r="AD252" s="48" t="str">
        <f t="shared" si="28"/>
        <v>-</v>
      </c>
      <c r="AE252" s="48" t="str">
        <f t="shared" si="29"/>
        <v>-</v>
      </c>
      <c r="AF252" s="48" t="str">
        <f t="shared" si="30"/>
        <v>-</v>
      </c>
      <c r="AG252" s="48" t="str">
        <f t="shared" si="31"/>
        <v>-</v>
      </c>
    </row>
    <row r="253" spans="1:33" ht="15" thickBot="1" x14ac:dyDescent="0.35">
      <c r="A253" s="574"/>
      <c r="B253" s="346" t="s">
        <v>562</v>
      </c>
      <c r="C253" s="347">
        <v>182</v>
      </c>
      <c r="D253" s="335"/>
      <c r="E253" s="348">
        <v>0.8</v>
      </c>
      <c r="F253" s="349">
        <v>0.6</v>
      </c>
      <c r="G253" s="349">
        <v>0.3</v>
      </c>
      <c r="H253" s="348">
        <v>0.8</v>
      </c>
      <c r="I253" s="347" t="s">
        <v>578</v>
      </c>
      <c r="J253" s="350"/>
      <c r="K253" s="336"/>
      <c r="L253" s="336"/>
      <c r="M253" s="336"/>
      <c r="N253" s="336"/>
      <c r="O253" s="336"/>
      <c r="P253" s="336"/>
      <c r="Q253" s="336"/>
      <c r="R253" s="336"/>
      <c r="S253" s="336"/>
      <c r="T253" s="336"/>
      <c r="U253" s="351"/>
      <c r="V253" s="352" t="s">
        <v>379</v>
      </c>
      <c r="W253" s="323">
        <v>1</v>
      </c>
      <c r="X253" s="328">
        <v>0.71</v>
      </c>
      <c r="Z253" s="48">
        <f t="shared" si="24"/>
        <v>0.71</v>
      </c>
      <c r="AA253" s="48" t="str">
        <f t="shared" si="25"/>
        <v>-</v>
      </c>
      <c r="AB253" s="48" t="str">
        <f t="shared" si="26"/>
        <v>-</v>
      </c>
      <c r="AC253" s="48" t="str">
        <f t="shared" si="27"/>
        <v>-</v>
      </c>
      <c r="AD253" s="48" t="str">
        <f t="shared" si="28"/>
        <v>-</v>
      </c>
      <c r="AE253" s="48" t="str">
        <f t="shared" si="29"/>
        <v>-</v>
      </c>
      <c r="AF253" s="48" t="str">
        <f t="shared" si="30"/>
        <v>-</v>
      </c>
      <c r="AG253" s="48" t="str">
        <f t="shared" si="31"/>
        <v>-</v>
      </c>
    </row>
    <row r="254" spans="1:33" ht="15" thickBot="1" x14ac:dyDescent="0.35">
      <c r="A254" s="574"/>
      <c r="B254" s="346" t="s">
        <v>562</v>
      </c>
      <c r="C254" s="347">
        <v>190</v>
      </c>
      <c r="D254" s="335"/>
      <c r="E254" s="348">
        <v>0.8</v>
      </c>
      <c r="F254" s="349">
        <v>0.6</v>
      </c>
      <c r="G254" s="349">
        <v>0.3</v>
      </c>
      <c r="H254" s="348">
        <v>0.8</v>
      </c>
      <c r="I254" s="347" t="s">
        <v>578</v>
      </c>
      <c r="J254" s="350"/>
      <c r="K254" s="336"/>
      <c r="L254" s="336"/>
      <c r="M254" s="336"/>
      <c r="N254" s="336"/>
      <c r="O254" s="336"/>
      <c r="P254" s="336"/>
      <c r="Q254" s="336"/>
      <c r="R254" s="336"/>
      <c r="S254" s="336"/>
      <c r="T254" s="336"/>
      <c r="U254" s="351"/>
      <c r="V254" s="352" t="s">
        <v>379</v>
      </c>
      <c r="W254" s="323">
        <v>1</v>
      </c>
      <c r="X254" s="324">
        <v>2.69</v>
      </c>
      <c r="Z254" s="48">
        <f t="shared" si="24"/>
        <v>2.69</v>
      </c>
      <c r="AA254" s="48" t="str">
        <f t="shared" si="25"/>
        <v>-</v>
      </c>
      <c r="AB254" s="48" t="str">
        <f t="shared" si="26"/>
        <v>-</v>
      </c>
      <c r="AC254" s="48" t="str">
        <f t="shared" si="27"/>
        <v>-</v>
      </c>
      <c r="AD254" s="48" t="str">
        <f t="shared" si="28"/>
        <v>-</v>
      </c>
      <c r="AE254" s="48" t="str">
        <f t="shared" si="29"/>
        <v>-</v>
      </c>
      <c r="AF254" s="48" t="str">
        <f t="shared" si="30"/>
        <v>-</v>
      </c>
      <c r="AG254" s="48" t="str">
        <f t="shared" si="31"/>
        <v>-</v>
      </c>
    </row>
    <row r="255" spans="1:33" ht="15" thickBot="1" x14ac:dyDescent="0.35">
      <c r="A255" s="574"/>
      <c r="B255" s="346" t="s">
        <v>562</v>
      </c>
      <c r="C255" s="347">
        <v>198</v>
      </c>
      <c r="D255" s="335"/>
      <c r="E255" s="348">
        <v>0.8</v>
      </c>
      <c r="F255" s="349">
        <v>0.6</v>
      </c>
      <c r="G255" s="349">
        <v>0.3</v>
      </c>
      <c r="H255" s="348">
        <v>0.8</v>
      </c>
      <c r="I255" s="347" t="s">
        <v>578</v>
      </c>
      <c r="J255" s="350"/>
      <c r="K255" s="336"/>
      <c r="L255" s="336"/>
      <c r="M255" s="336"/>
      <c r="N255" s="336"/>
      <c r="O255" s="336"/>
      <c r="P255" s="336"/>
      <c r="Q255" s="336"/>
      <c r="R255" s="336"/>
      <c r="S255" s="336"/>
      <c r="T255" s="336"/>
      <c r="U255" s="351"/>
      <c r="V255" s="352" t="s">
        <v>379</v>
      </c>
      <c r="W255" s="323">
        <v>1</v>
      </c>
      <c r="X255" s="324">
        <v>2.89</v>
      </c>
      <c r="Z255" s="48">
        <f t="shared" si="24"/>
        <v>2.89</v>
      </c>
      <c r="AA255" s="48" t="str">
        <f t="shared" si="25"/>
        <v>-</v>
      </c>
      <c r="AB255" s="48" t="str">
        <f t="shared" si="26"/>
        <v>-</v>
      </c>
      <c r="AC255" s="48" t="str">
        <f t="shared" si="27"/>
        <v>-</v>
      </c>
      <c r="AD255" s="48" t="str">
        <f t="shared" si="28"/>
        <v>-</v>
      </c>
      <c r="AE255" s="48" t="str">
        <f t="shared" si="29"/>
        <v>-</v>
      </c>
      <c r="AF255" s="48" t="str">
        <f t="shared" si="30"/>
        <v>-</v>
      </c>
      <c r="AG255" s="48" t="str">
        <f t="shared" si="31"/>
        <v>-</v>
      </c>
    </row>
    <row r="256" spans="1:33" ht="15" thickBot="1" x14ac:dyDescent="0.35">
      <c r="A256" s="574"/>
      <c r="B256" s="346" t="s">
        <v>560</v>
      </c>
      <c r="C256" s="347">
        <v>125</v>
      </c>
      <c r="D256" s="335"/>
      <c r="E256" s="348">
        <v>0.8</v>
      </c>
      <c r="F256" s="349">
        <v>0.6</v>
      </c>
      <c r="G256" s="349">
        <v>0.3</v>
      </c>
      <c r="H256" s="348">
        <v>0.8</v>
      </c>
      <c r="I256" s="347" t="s">
        <v>578</v>
      </c>
      <c r="J256" s="350"/>
      <c r="K256" s="336"/>
      <c r="L256" s="336"/>
      <c r="M256" s="336"/>
      <c r="N256" s="336"/>
      <c r="O256" s="336"/>
      <c r="P256" s="336"/>
      <c r="Q256" s="336"/>
      <c r="R256" s="336"/>
      <c r="S256" s="336"/>
      <c r="T256" s="336"/>
      <c r="U256" s="351"/>
      <c r="V256" s="352" t="s">
        <v>379</v>
      </c>
      <c r="W256" s="323">
        <v>1</v>
      </c>
      <c r="X256" s="324">
        <v>0.56999999999999995</v>
      </c>
      <c r="Z256" s="48">
        <f t="shared" si="24"/>
        <v>0.56999999999999995</v>
      </c>
      <c r="AA256" s="48" t="str">
        <f t="shared" si="25"/>
        <v>-</v>
      </c>
      <c r="AB256" s="48" t="str">
        <f t="shared" si="26"/>
        <v>-</v>
      </c>
      <c r="AC256" s="48" t="str">
        <f t="shared" si="27"/>
        <v>-</v>
      </c>
      <c r="AD256" s="48" t="str">
        <f t="shared" si="28"/>
        <v>-</v>
      </c>
      <c r="AE256" s="48" t="str">
        <f t="shared" si="29"/>
        <v>-</v>
      </c>
      <c r="AF256" s="48" t="str">
        <f t="shared" si="30"/>
        <v>-</v>
      </c>
      <c r="AG256" s="48" t="str">
        <f t="shared" si="31"/>
        <v>-</v>
      </c>
    </row>
    <row r="257" spans="1:33" ht="15" thickBot="1" x14ac:dyDescent="0.35">
      <c r="A257" s="574"/>
      <c r="B257" s="346" t="s">
        <v>560</v>
      </c>
      <c r="C257" s="347">
        <v>145</v>
      </c>
      <c r="D257" s="335"/>
      <c r="E257" s="348">
        <v>0.8</v>
      </c>
      <c r="F257" s="349">
        <v>0.6</v>
      </c>
      <c r="G257" s="349">
        <v>0.3</v>
      </c>
      <c r="H257" s="348">
        <v>0.8</v>
      </c>
      <c r="I257" s="346"/>
      <c r="J257" s="350" t="s">
        <v>578</v>
      </c>
      <c r="K257" s="336"/>
      <c r="L257" s="336"/>
      <c r="M257" s="336"/>
      <c r="N257" s="336"/>
      <c r="O257" s="336"/>
      <c r="P257" s="336"/>
      <c r="Q257" s="336"/>
      <c r="R257" s="336"/>
      <c r="S257" s="336"/>
      <c r="T257" s="336"/>
      <c r="U257" s="351"/>
      <c r="V257" s="352" t="s">
        <v>122</v>
      </c>
      <c r="W257" s="323">
        <v>1</v>
      </c>
      <c r="X257" s="324">
        <v>0.56999999999999995</v>
      </c>
      <c r="Z257" s="48" t="str">
        <f t="shared" si="24"/>
        <v>-</v>
      </c>
      <c r="AA257" s="48">
        <f t="shared" si="25"/>
        <v>0.56999999999999995</v>
      </c>
      <c r="AB257" s="48" t="str">
        <f t="shared" si="26"/>
        <v>-</v>
      </c>
      <c r="AC257" s="48" t="str">
        <f t="shared" si="27"/>
        <v>-</v>
      </c>
      <c r="AD257" s="48" t="str">
        <f t="shared" si="28"/>
        <v>-</v>
      </c>
      <c r="AE257" s="48" t="str">
        <f t="shared" si="29"/>
        <v>-</v>
      </c>
      <c r="AF257" s="48" t="str">
        <f t="shared" si="30"/>
        <v>-</v>
      </c>
      <c r="AG257" s="48" t="str">
        <f t="shared" si="31"/>
        <v>-</v>
      </c>
    </row>
    <row r="258" spans="1:33" ht="15" thickBot="1" x14ac:dyDescent="0.35">
      <c r="A258" s="574"/>
      <c r="B258" s="346" t="s">
        <v>557</v>
      </c>
      <c r="C258" s="347">
        <v>120</v>
      </c>
      <c r="D258" s="335"/>
      <c r="E258" s="348">
        <v>0.8</v>
      </c>
      <c r="F258" s="349">
        <v>0.6</v>
      </c>
      <c r="G258" s="349">
        <v>0.3</v>
      </c>
      <c r="H258" s="348">
        <v>0.8</v>
      </c>
      <c r="I258" s="347" t="s">
        <v>578</v>
      </c>
      <c r="J258" s="350"/>
      <c r="K258" s="336"/>
      <c r="L258" s="336"/>
      <c r="M258" s="336"/>
      <c r="N258" s="336"/>
      <c r="O258" s="336"/>
      <c r="P258" s="336"/>
      <c r="Q258" s="336"/>
      <c r="R258" s="336"/>
      <c r="S258" s="336"/>
      <c r="T258" s="336"/>
      <c r="U258" s="351"/>
      <c r="V258" s="352" t="s">
        <v>379</v>
      </c>
      <c r="W258" s="323">
        <v>1</v>
      </c>
      <c r="X258" s="324">
        <v>0.68</v>
      </c>
      <c r="Z258" s="48">
        <f t="shared" si="24"/>
        <v>0.68</v>
      </c>
      <c r="AA258" s="48" t="str">
        <f t="shared" si="25"/>
        <v>-</v>
      </c>
      <c r="AB258" s="48" t="str">
        <f t="shared" si="26"/>
        <v>-</v>
      </c>
      <c r="AC258" s="48" t="str">
        <f t="shared" si="27"/>
        <v>-</v>
      </c>
      <c r="AD258" s="48" t="str">
        <f t="shared" si="28"/>
        <v>-</v>
      </c>
      <c r="AE258" s="48" t="str">
        <f t="shared" si="29"/>
        <v>-</v>
      </c>
      <c r="AF258" s="48" t="str">
        <f t="shared" si="30"/>
        <v>-</v>
      </c>
      <c r="AG258" s="48" t="str">
        <f t="shared" si="31"/>
        <v>-</v>
      </c>
    </row>
    <row r="259" spans="1:33" ht="15" thickBot="1" x14ac:dyDescent="0.35">
      <c r="A259" s="574"/>
      <c r="B259" s="346" t="s">
        <v>557</v>
      </c>
      <c r="C259" s="347">
        <v>101</v>
      </c>
      <c r="D259" s="335"/>
      <c r="E259" s="348">
        <v>0.8</v>
      </c>
      <c r="F259" s="349">
        <v>0.6</v>
      </c>
      <c r="G259" s="349">
        <v>0.3</v>
      </c>
      <c r="H259" s="348">
        <v>0.8</v>
      </c>
      <c r="I259" s="347" t="s">
        <v>578</v>
      </c>
      <c r="J259" s="350"/>
      <c r="K259" s="336"/>
      <c r="L259" s="336"/>
      <c r="M259" s="336"/>
      <c r="N259" s="336"/>
      <c r="O259" s="336"/>
      <c r="P259" s="336"/>
      <c r="Q259" s="336"/>
      <c r="R259" s="336"/>
      <c r="S259" s="336"/>
      <c r="T259" s="336"/>
      <c r="U259" s="351"/>
      <c r="V259" s="352" t="s">
        <v>379</v>
      </c>
      <c r="W259" s="323">
        <v>1</v>
      </c>
      <c r="X259" s="324">
        <v>0.68</v>
      </c>
      <c r="Z259" s="48">
        <f t="shared" si="24"/>
        <v>0.68</v>
      </c>
      <c r="AA259" s="48" t="str">
        <f t="shared" si="25"/>
        <v>-</v>
      </c>
      <c r="AB259" s="48" t="str">
        <f t="shared" si="26"/>
        <v>-</v>
      </c>
      <c r="AC259" s="48" t="str">
        <f t="shared" si="27"/>
        <v>-</v>
      </c>
      <c r="AD259" s="48" t="str">
        <f t="shared" si="28"/>
        <v>-</v>
      </c>
      <c r="AE259" s="48" t="str">
        <f t="shared" si="29"/>
        <v>-</v>
      </c>
      <c r="AF259" s="48" t="str">
        <f t="shared" si="30"/>
        <v>-</v>
      </c>
      <c r="AG259" s="48" t="str">
        <f t="shared" si="31"/>
        <v>-</v>
      </c>
    </row>
    <row r="260" spans="1:33" ht="15" thickBot="1" x14ac:dyDescent="0.35">
      <c r="A260" s="574"/>
      <c r="B260" s="346" t="s">
        <v>557</v>
      </c>
      <c r="C260" s="347">
        <v>109</v>
      </c>
      <c r="D260" s="335"/>
      <c r="E260" s="348">
        <v>0.8</v>
      </c>
      <c r="F260" s="349">
        <v>0.6</v>
      </c>
      <c r="G260" s="349">
        <v>0.3</v>
      </c>
      <c r="H260" s="348">
        <v>0.8</v>
      </c>
      <c r="I260" s="347" t="s">
        <v>578</v>
      </c>
      <c r="J260" s="350"/>
      <c r="K260" s="336"/>
      <c r="L260" s="336"/>
      <c r="M260" s="336"/>
      <c r="N260" s="336"/>
      <c r="O260" s="336"/>
      <c r="P260" s="336"/>
      <c r="Q260" s="336"/>
      <c r="R260" s="336"/>
      <c r="S260" s="336"/>
      <c r="T260" s="336"/>
      <c r="U260" s="351"/>
      <c r="V260" s="352" t="s">
        <v>379</v>
      </c>
      <c r="W260" s="323">
        <v>1</v>
      </c>
      <c r="X260" s="324">
        <v>0.68</v>
      </c>
      <c r="Z260" s="48">
        <f t="shared" ref="Z260:Z323" si="32">IF(AND(0&lt;=$H260,$H260&lt;=1,$V260="U")=TRUE,$X260,"-")</f>
        <v>0.68</v>
      </c>
      <c r="AA260" s="48" t="str">
        <f t="shared" ref="AA260:AA323" si="33">IF(AND(0&lt;=$H260,$H260&lt;=1,$V260="r")=TRUE,$X260,"-")</f>
        <v>-</v>
      </c>
      <c r="AB260" s="48" t="str">
        <f t="shared" ref="AB260:AB323" si="34">IF(AND(0&lt;=$H260,$H260&lt;=1,$V260="RI")=TRUE,$X260,"-")</f>
        <v>-</v>
      </c>
      <c r="AC260" s="48" t="str">
        <f t="shared" ref="AC260:AC323" si="35">IF(AND(0&lt;=$H260,$H260&lt;=1,$V260="RE")=TRUE,$X260,"-")</f>
        <v>-</v>
      </c>
      <c r="AD260" s="48" t="str">
        <f t="shared" ref="AD260:AD323" si="36">IF(AND(1.01&lt;=$H260,$H260&lt;=1.25,$V260="U")=TRUE,$X260,"-")</f>
        <v>-</v>
      </c>
      <c r="AE260" s="48" t="str">
        <f t="shared" ref="AE260:AE323" si="37">IF(AND(1.01&lt;=$H260,$H260&lt;=1.25,$V260="R")=TRUE,$X260,"-")</f>
        <v>-</v>
      </c>
      <c r="AF260" s="48" t="str">
        <f t="shared" ref="AF260:AF323" si="38">IF(AND(1.01&lt;=$H260,$H260&lt;=1.25,$V260="RI")=TRUE,$X260,"-")</f>
        <v>-</v>
      </c>
      <c r="AG260" s="48" t="str">
        <f t="shared" ref="AG260:AG323" si="39">IF(AND(1.01&lt;=$H260,$H260&lt;=1.25,$V260="RE")=TRUE,$X260,"-")</f>
        <v>-</v>
      </c>
    </row>
    <row r="261" spans="1:33" ht="15" thickBot="1" x14ac:dyDescent="0.35">
      <c r="A261" s="574"/>
      <c r="B261" s="346" t="s">
        <v>557</v>
      </c>
      <c r="C261" s="347">
        <v>117</v>
      </c>
      <c r="D261" s="335"/>
      <c r="E261" s="348">
        <v>0.8</v>
      </c>
      <c r="F261" s="349">
        <v>0.6</v>
      </c>
      <c r="G261" s="349">
        <v>0.3</v>
      </c>
      <c r="H261" s="348">
        <v>0.8</v>
      </c>
      <c r="I261" s="347" t="s">
        <v>578</v>
      </c>
      <c r="J261" s="350"/>
      <c r="K261" s="336"/>
      <c r="L261" s="336"/>
      <c r="M261" s="336"/>
      <c r="N261" s="336"/>
      <c r="O261" s="336"/>
      <c r="P261" s="336"/>
      <c r="Q261" s="336"/>
      <c r="R261" s="336"/>
      <c r="S261" s="336"/>
      <c r="T261" s="336"/>
      <c r="U261" s="351"/>
      <c r="V261" s="352" t="s">
        <v>379</v>
      </c>
      <c r="W261" s="323">
        <v>1</v>
      </c>
      <c r="X261" s="324">
        <v>0.68</v>
      </c>
      <c r="Z261" s="48">
        <f t="shared" si="32"/>
        <v>0.68</v>
      </c>
      <c r="AA261" s="48" t="str">
        <f t="shared" si="33"/>
        <v>-</v>
      </c>
      <c r="AB261" s="48" t="str">
        <f t="shared" si="34"/>
        <v>-</v>
      </c>
      <c r="AC261" s="48" t="str">
        <f t="shared" si="35"/>
        <v>-</v>
      </c>
      <c r="AD261" s="48" t="str">
        <f t="shared" si="36"/>
        <v>-</v>
      </c>
      <c r="AE261" s="48" t="str">
        <f t="shared" si="37"/>
        <v>-</v>
      </c>
      <c r="AF261" s="48" t="str">
        <f t="shared" si="38"/>
        <v>-</v>
      </c>
      <c r="AG261" s="48" t="str">
        <f t="shared" si="39"/>
        <v>-</v>
      </c>
    </row>
    <row r="262" spans="1:33" ht="15" thickBot="1" x14ac:dyDescent="0.35">
      <c r="A262" s="574"/>
      <c r="B262" s="346" t="s">
        <v>557</v>
      </c>
      <c r="C262" s="347">
        <v>125</v>
      </c>
      <c r="D262" s="335"/>
      <c r="E262" s="348">
        <v>0.8</v>
      </c>
      <c r="F262" s="349">
        <v>0.6</v>
      </c>
      <c r="G262" s="349">
        <v>0.3</v>
      </c>
      <c r="H262" s="348">
        <v>0.8</v>
      </c>
      <c r="I262" s="347" t="s">
        <v>578</v>
      </c>
      <c r="J262" s="350"/>
      <c r="K262" s="336"/>
      <c r="L262" s="336"/>
      <c r="M262" s="336"/>
      <c r="N262" s="336"/>
      <c r="O262" s="336"/>
      <c r="P262" s="336"/>
      <c r="Q262" s="336"/>
      <c r="R262" s="336"/>
      <c r="S262" s="336"/>
      <c r="T262" s="336"/>
      <c r="U262" s="351"/>
      <c r="V262" s="352" t="s">
        <v>379</v>
      </c>
      <c r="W262" s="323">
        <v>1</v>
      </c>
      <c r="X262" s="324">
        <v>0.61</v>
      </c>
      <c r="Z262" s="48">
        <f t="shared" si="32"/>
        <v>0.61</v>
      </c>
      <c r="AA262" s="48" t="str">
        <f t="shared" si="33"/>
        <v>-</v>
      </c>
      <c r="AB262" s="48" t="str">
        <f t="shared" si="34"/>
        <v>-</v>
      </c>
      <c r="AC262" s="48" t="str">
        <f t="shared" si="35"/>
        <v>-</v>
      </c>
      <c r="AD262" s="48" t="str">
        <f t="shared" si="36"/>
        <v>-</v>
      </c>
      <c r="AE262" s="48" t="str">
        <f t="shared" si="37"/>
        <v>-</v>
      </c>
      <c r="AF262" s="48" t="str">
        <f t="shared" si="38"/>
        <v>-</v>
      </c>
      <c r="AG262" s="48" t="str">
        <f t="shared" si="39"/>
        <v>-</v>
      </c>
    </row>
    <row r="263" spans="1:33" ht="15" thickBot="1" x14ac:dyDescent="0.35">
      <c r="A263" s="574"/>
      <c r="B263" s="346" t="s">
        <v>557</v>
      </c>
      <c r="C263" s="347">
        <v>133</v>
      </c>
      <c r="D263" s="335"/>
      <c r="E263" s="348">
        <v>0.8</v>
      </c>
      <c r="F263" s="349">
        <v>0.6</v>
      </c>
      <c r="G263" s="349">
        <v>0.3</v>
      </c>
      <c r="H263" s="348">
        <v>0.8</v>
      </c>
      <c r="I263" s="347" t="s">
        <v>578</v>
      </c>
      <c r="J263" s="350"/>
      <c r="K263" s="336"/>
      <c r="L263" s="336"/>
      <c r="M263" s="336"/>
      <c r="N263" s="336"/>
      <c r="O263" s="336"/>
      <c r="P263" s="336"/>
      <c r="Q263" s="336"/>
      <c r="R263" s="336"/>
      <c r="S263" s="336"/>
      <c r="T263" s="336"/>
      <c r="U263" s="351"/>
      <c r="V263" s="352" t="s">
        <v>379</v>
      </c>
      <c r="W263" s="323">
        <v>1</v>
      </c>
      <c r="X263" s="324">
        <v>0.59</v>
      </c>
      <c r="Z263" s="48">
        <f t="shared" si="32"/>
        <v>0.59</v>
      </c>
      <c r="AA263" s="48" t="str">
        <f t="shared" si="33"/>
        <v>-</v>
      </c>
      <c r="AB263" s="48" t="str">
        <f t="shared" si="34"/>
        <v>-</v>
      </c>
      <c r="AC263" s="48" t="str">
        <f t="shared" si="35"/>
        <v>-</v>
      </c>
      <c r="AD263" s="48" t="str">
        <f t="shared" si="36"/>
        <v>-</v>
      </c>
      <c r="AE263" s="48" t="str">
        <f t="shared" si="37"/>
        <v>-</v>
      </c>
      <c r="AF263" s="48" t="str">
        <f t="shared" si="38"/>
        <v>-</v>
      </c>
      <c r="AG263" s="48" t="str">
        <f t="shared" si="39"/>
        <v>-</v>
      </c>
    </row>
    <row r="264" spans="1:33" ht="15" thickBot="1" x14ac:dyDescent="0.35">
      <c r="A264" s="574"/>
      <c r="B264" s="346" t="s">
        <v>557</v>
      </c>
      <c r="C264" s="347">
        <v>141</v>
      </c>
      <c r="D264" s="335"/>
      <c r="E264" s="348">
        <v>0.8</v>
      </c>
      <c r="F264" s="349">
        <v>0.6</v>
      </c>
      <c r="G264" s="349">
        <v>0.3</v>
      </c>
      <c r="H264" s="348">
        <v>0.8</v>
      </c>
      <c r="I264" s="347" t="s">
        <v>578</v>
      </c>
      <c r="J264" s="350"/>
      <c r="K264" s="336"/>
      <c r="L264" s="336"/>
      <c r="M264" s="336"/>
      <c r="N264" s="336"/>
      <c r="O264" s="336"/>
      <c r="P264" s="336"/>
      <c r="Q264" s="336"/>
      <c r="R264" s="336"/>
      <c r="S264" s="336"/>
      <c r="T264" s="336"/>
      <c r="U264" s="351"/>
      <c r="V264" s="352" t="s">
        <v>379</v>
      </c>
      <c r="W264" s="323">
        <v>1</v>
      </c>
      <c r="X264" s="324">
        <v>0.45</v>
      </c>
      <c r="Z264" s="48">
        <f t="shared" si="32"/>
        <v>0.45</v>
      </c>
      <c r="AA264" s="48" t="str">
        <f t="shared" si="33"/>
        <v>-</v>
      </c>
      <c r="AB264" s="48" t="str">
        <f t="shared" si="34"/>
        <v>-</v>
      </c>
      <c r="AC264" s="48" t="str">
        <f t="shared" si="35"/>
        <v>-</v>
      </c>
      <c r="AD264" s="48" t="str">
        <f t="shared" si="36"/>
        <v>-</v>
      </c>
      <c r="AE264" s="48" t="str">
        <f t="shared" si="37"/>
        <v>-</v>
      </c>
      <c r="AF264" s="48" t="str">
        <f t="shared" si="38"/>
        <v>-</v>
      </c>
      <c r="AG264" s="48" t="str">
        <f t="shared" si="39"/>
        <v>-</v>
      </c>
    </row>
    <row r="265" spans="1:33" ht="15" thickBot="1" x14ac:dyDescent="0.35">
      <c r="A265" s="574"/>
      <c r="B265" s="346" t="s">
        <v>557</v>
      </c>
      <c r="C265" s="347">
        <v>149</v>
      </c>
      <c r="D265" s="335"/>
      <c r="E265" s="348">
        <v>0.8</v>
      </c>
      <c r="F265" s="349">
        <v>0.6</v>
      </c>
      <c r="G265" s="349">
        <v>0.3</v>
      </c>
      <c r="H265" s="348">
        <v>0.8</v>
      </c>
      <c r="I265" s="347" t="s">
        <v>578</v>
      </c>
      <c r="J265" s="350"/>
      <c r="K265" s="336"/>
      <c r="L265" s="336"/>
      <c r="M265" s="336"/>
      <c r="N265" s="336"/>
      <c r="O265" s="336"/>
      <c r="P265" s="336"/>
      <c r="Q265" s="336"/>
      <c r="R265" s="336"/>
      <c r="S265" s="336"/>
      <c r="T265" s="336"/>
      <c r="U265" s="351"/>
      <c r="V265" s="352" t="s">
        <v>379</v>
      </c>
      <c r="W265" s="323">
        <v>1</v>
      </c>
      <c r="X265" s="324">
        <v>0.45</v>
      </c>
      <c r="Z265" s="48">
        <f t="shared" si="32"/>
        <v>0.45</v>
      </c>
      <c r="AA265" s="48" t="str">
        <f t="shared" si="33"/>
        <v>-</v>
      </c>
      <c r="AB265" s="48" t="str">
        <f t="shared" si="34"/>
        <v>-</v>
      </c>
      <c r="AC265" s="48" t="str">
        <f t="shared" si="35"/>
        <v>-</v>
      </c>
      <c r="AD265" s="48" t="str">
        <f t="shared" si="36"/>
        <v>-</v>
      </c>
      <c r="AE265" s="48" t="str">
        <f t="shared" si="37"/>
        <v>-</v>
      </c>
      <c r="AF265" s="48" t="str">
        <f t="shared" si="38"/>
        <v>-</v>
      </c>
      <c r="AG265" s="48" t="str">
        <f t="shared" si="39"/>
        <v>-</v>
      </c>
    </row>
    <row r="266" spans="1:33" ht="15" thickBot="1" x14ac:dyDescent="0.35">
      <c r="A266" s="574"/>
      <c r="B266" s="346" t="s">
        <v>557</v>
      </c>
      <c r="C266" s="347">
        <v>157</v>
      </c>
      <c r="D266" s="335"/>
      <c r="E266" s="348">
        <v>0.8</v>
      </c>
      <c r="F266" s="349">
        <v>0.6</v>
      </c>
      <c r="G266" s="349">
        <v>0.3</v>
      </c>
      <c r="H266" s="348">
        <v>0.8</v>
      </c>
      <c r="I266" s="347" t="s">
        <v>578</v>
      </c>
      <c r="J266" s="350"/>
      <c r="K266" s="336"/>
      <c r="L266" s="336"/>
      <c r="M266" s="336"/>
      <c r="N266" s="336"/>
      <c r="O266" s="336"/>
      <c r="P266" s="336"/>
      <c r="Q266" s="336"/>
      <c r="R266" s="336"/>
      <c r="S266" s="336"/>
      <c r="T266" s="336"/>
      <c r="U266" s="351"/>
      <c r="V266" s="352" t="s">
        <v>379</v>
      </c>
      <c r="W266" s="323">
        <v>1</v>
      </c>
      <c r="X266" s="324">
        <v>0.45</v>
      </c>
      <c r="Z266" s="48">
        <f t="shared" si="32"/>
        <v>0.45</v>
      </c>
      <c r="AA266" s="48" t="str">
        <f t="shared" si="33"/>
        <v>-</v>
      </c>
      <c r="AB266" s="48" t="str">
        <f t="shared" si="34"/>
        <v>-</v>
      </c>
      <c r="AC266" s="48" t="str">
        <f t="shared" si="35"/>
        <v>-</v>
      </c>
      <c r="AD266" s="48" t="str">
        <f t="shared" si="36"/>
        <v>-</v>
      </c>
      <c r="AE266" s="48" t="str">
        <f t="shared" si="37"/>
        <v>-</v>
      </c>
      <c r="AF266" s="48" t="str">
        <f t="shared" si="38"/>
        <v>-</v>
      </c>
      <c r="AG266" s="48" t="str">
        <f t="shared" si="39"/>
        <v>-</v>
      </c>
    </row>
    <row r="267" spans="1:33" ht="15" thickBot="1" x14ac:dyDescent="0.35">
      <c r="A267" s="574"/>
      <c r="B267" s="346" t="s">
        <v>557</v>
      </c>
      <c r="C267" s="347">
        <v>165</v>
      </c>
      <c r="D267" s="335"/>
      <c r="E267" s="348">
        <v>0.8</v>
      </c>
      <c r="F267" s="349">
        <v>0.6</v>
      </c>
      <c r="G267" s="349">
        <v>0.3</v>
      </c>
      <c r="H267" s="348">
        <v>0.8</v>
      </c>
      <c r="I267" s="347" t="s">
        <v>578</v>
      </c>
      <c r="J267" s="350"/>
      <c r="K267" s="336"/>
      <c r="L267" s="336"/>
      <c r="M267" s="336"/>
      <c r="N267" s="336"/>
      <c r="O267" s="336"/>
      <c r="P267" s="336"/>
      <c r="Q267" s="336"/>
      <c r="R267" s="336"/>
      <c r="S267" s="336"/>
      <c r="T267" s="336"/>
      <c r="U267" s="351"/>
      <c r="V267" s="352" t="s">
        <v>379</v>
      </c>
      <c r="W267" s="323">
        <v>1</v>
      </c>
      <c r="X267" s="324">
        <v>0.45</v>
      </c>
      <c r="Z267" s="48">
        <f t="shared" si="32"/>
        <v>0.45</v>
      </c>
      <c r="AA267" s="48" t="str">
        <f t="shared" si="33"/>
        <v>-</v>
      </c>
      <c r="AB267" s="48" t="str">
        <f t="shared" si="34"/>
        <v>-</v>
      </c>
      <c r="AC267" s="48" t="str">
        <f t="shared" si="35"/>
        <v>-</v>
      </c>
      <c r="AD267" s="48" t="str">
        <f t="shared" si="36"/>
        <v>-</v>
      </c>
      <c r="AE267" s="48" t="str">
        <f t="shared" si="37"/>
        <v>-</v>
      </c>
      <c r="AF267" s="48" t="str">
        <f t="shared" si="38"/>
        <v>-</v>
      </c>
      <c r="AG267" s="48" t="str">
        <f t="shared" si="39"/>
        <v>-</v>
      </c>
    </row>
    <row r="268" spans="1:33" ht="15" thickBot="1" x14ac:dyDescent="0.35">
      <c r="A268" s="574"/>
      <c r="B268" s="346" t="s">
        <v>557</v>
      </c>
      <c r="C268" s="347">
        <v>173</v>
      </c>
      <c r="D268" s="335"/>
      <c r="E268" s="348">
        <v>0.8</v>
      </c>
      <c r="F268" s="349">
        <v>0.6</v>
      </c>
      <c r="G268" s="349">
        <v>0.3</v>
      </c>
      <c r="H268" s="348">
        <v>0.8</v>
      </c>
      <c r="I268" s="347" t="s">
        <v>578</v>
      </c>
      <c r="J268" s="350"/>
      <c r="K268" s="336"/>
      <c r="L268" s="336"/>
      <c r="M268" s="336"/>
      <c r="N268" s="336"/>
      <c r="O268" s="336"/>
      <c r="P268" s="336"/>
      <c r="Q268" s="336"/>
      <c r="R268" s="336"/>
      <c r="S268" s="336"/>
      <c r="T268" s="336"/>
      <c r="U268" s="351"/>
      <c r="V268" s="352" t="s">
        <v>379</v>
      </c>
      <c r="W268" s="323">
        <v>1</v>
      </c>
      <c r="X268" s="324">
        <v>0.45</v>
      </c>
      <c r="Z268" s="48">
        <f t="shared" si="32"/>
        <v>0.45</v>
      </c>
      <c r="AA268" s="48" t="str">
        <f t="shared" si="33"/>
        <v>-</v>
      </c>
      <c r="AB268" s="48" t="str">
        <f t="shared" si="34"/>
        <v>-</v>
      </c>
      <c r="AC268" s="48" t="str">
        <f t="shared" si="35"/>
        <v>-</v>
      </c>
      <c r="AD268" s="48" t="str">
        <f t="shared" si="36"/>
        <v>-</v>
      </c>
      <c r="AE268" s="48" t="str">
        <f t="shared" si="37"/>
        <v>-</v>
      </c>
      <c r="AF268" s="48" t="str">
        <f t="shared" si="38"/>
        <v>-</v>
      </c>
      <c r="AG268" s="48" t="str">
        <f t="shared" si="39"/>
        <v>-</v>
      </c>
    </row>
    <row r="269" spans="1:33" ht="15" thickBot="1" x14ac:dyDescent="0.35">
      <c r="A269" s="575"/>
      <c r="B269" s="367" t="s">
        <v>557</v>
      </c>
      <c r="C269" s="368">
        <v>181</v>
      </c>
      <c r="D269" s="335"/>
      <c r="E269" s="369">
        <v>0.8</v>
      </c>
      <c r="F269" s="370">
        <v>0.6</v>
      </c>
      <c r="G269" s="370">
        <v>0.3</v>
      </c>
      <c r="H269" s="369">
        <v>0.8</v>
      </c>
      <c r="I269" s="368" t="s">
        <v>578</v>
      </c>
      <c r="J269" s="371"/>
      <c r="K269" s="336"/>
      <c r="L269" s="336"/>
      <c r="M269" s="336"/>
      <c r="N269" s="336"/>
      <c r="O269" s="336"/>
      <c r="P269" s="336"/>
      <c r="Q269" s="336"/>
      <c r="R269" s="336"/>
      <c r="S269" s="336"/>
      <c r="T269" s="336"/>
      <c r="U269" s="351"/>
      <c r="V269" s="352" t="s">
        <v>379</v>
      </c>
      <c r="W269" s="329">
        <v>1</v>
      </c>
      <c r="X269" s="330">
        <v>0.45</v>
      </c>
      <c r="Z269" s="48">
        <f t="shared" si="32"/>
        <v>0.45</v>
      </c>
      <c r="AA269" s="48" t="str">
        <f t="shared" si="33"/>
        <v>-</v>
      </c>
      <c r="AB269" s="48" t="str">
        <f t="shared" si="34"/>
        <v>-</v>
      </c>
      <c r="AC269" s="48" t="str">
        <f t="shared" si="35"/>
        <v>-</v>
      </c>
      <c r="AD269" s="48" t="str">
        <f t="shared" si="36"/>
        <v>-</v>
      </c>
      <c r="AE269" s="48" t="str">
        <f t="shared" si="37"/>
        <v>-</v>
      </c>
      <c r="AF269" s="48" t="str">
        <f t="shared" si="38"/>
        <v>-</v>
      </c>
      <c r="AG269" s="48" t="str">
        <f t="shared" si="39"/>
        <v>-</v>
      </c>
    </row>
    <row r="270" spans="1:33" ht="15" thickBot="1" x14ac:dyDescent="0.35">
      <c r="A270" s="576" t="s">
        <v>563</v>
      </c>
      <c r="B270" s="337" t="s">
        <v>562</v>
      </c>
      <c r="C270" s="338">
        <v>165</v>
      </c>
      <c r="D270" s="339"/>
      <c r="E270" s="340">
        <v>0.8</v>
      </c>
      <c r="F270" s="341">
        <v>0.6</v>
      </c>
      <c r="G270" s="341">
        <v>0.3</v>
      </c>
      <c r="H270" s="340">
        <v>0.8</v>
      </c>
      <c r="I270" s="338" t="s">
        <v>578</v>
      </c>
      <c r="J270" s="342"/>
      <c r="K270" s="343"/>
      <c r="L270" s="343"/>
      <c r="M270" s="343"/>
      <c r="N270" s="343"/>
      <c r="O270" s="343"/>
      <c r="P270" s="343"/>
      <c r="Q270" s="343"/>
      <c r="R270" s="343"/>
      <c r="S270" s="343"/>
      <c r="T270" s="343"/>
      <c r="U270" s="344"/>
      <c r="V270" s="345" t="s">
        <v>379</v>
      </c>
      <c r="W270" s="321">
        <v>1</v>
      </c>
      <c r="X270" s="322">
        <v>1.82</v>
      </c>
      <c r="Z270" s="48">
        <f t="shared" si="32"/>
        <v>1.82</v>
      </c>
      <c r="AA270" s="48" t="str">
        <f t="shared" si="33"/>
        <v>-</v>
      </c>
      <c r="AB270" s="48" t="str">
        <f t="shared" si="34"/>
        <v>-</v>
      </c>
      <c r="AC270" s="48" t="str">
        <f t="shared" si="35"/>
        <v>-</v>
      </c>
      <c r="AD270" s="48" t="str">
        <f t="shared" si="36"/>
        <v>-</v>
      </c>
      <c r="AE270" s="48" t="str">
        <f t="shared" si="37"/>
        <v>-</v>
      </c>
      <c r="AF270" s="48" t="str">
        <f t="shared" si="38"/>
        <v>-</v>
      </c>
      <c r="AG270" s="48" t="str">
        <f t="shared" si="39"/>
        <v>-</v>
      </c>
    </row>
    <row r="271" spans="1:33" ht="15" thickBot="1" x14ac:dyDescent="0.35">
      <c r="A271" s="574"/>
      <c r="B271" s="346" t="s">
        <v>562</v>
      </c>
      <c r="C271" s="347">
        <v>171</v>
      </c>
      <c r="D271" s="335"/>
      <c r="E271" s="348">
        <v>0.8</v>
      </c>
      <c r="F271" s="349">
        <v>0.6</v>
      </c>
      <c r="G271" s="349">
        <v>0.3</v>
      </c>
      <c r="H271" s="348">
        <v>0.8</v>
      </c>
      <c r="I271" s="347" t="s">
        <v>578</v>
      </c>
      <c r="J271" s="350"/>
      <c r="K271" s="336"/>
      <c r="L271" s="336"/>
      <c r="M271" s="336"/>
      <c r="N271" s="336"/>
      <c r="O271" s="336"/>
      <c r="P271" s="336"/>
      <c r="Q271" s="336"/>
      <c r="R271" s="336"/>
      <c r="S271" s="336"/>
      <c r="T271" s="336"/>
      <c r="U271" s="351"/>
      <c r="V271" s="352" t="s">
        <v>379</v>
      </c>
      <c r="W271" s="323">
        <v>1</v>
      </c>
      <c r="X271" s="324">
        <v>1.71</v>
      </c>
      <c r="Z271" s="48">
        <f t="shared" si="32"/>
        <v>1.71</v>
      </c>
      <c r="AA271" s="48" t="str">
        <f t="shared" si="33"/>
        <v>-</v>
      </c>
      <c r="AB271" s="48" t="str">
        <f t="shared" si="34"/>
        <v>-</v>
      </c>
      <c r="AC271" s="48" t="str">
        <f t="shared" si="35"/>
        <v>-</v>
      </c>
      <c r="AD271" s="48" t="str">
        <f t="shared" si="36"/>
        <v>-</v>
      </c>
      <c r="AE271" s="48" t="str">
        <f t="shared" si="37"/>
        <v>-</v>
      </c>
      <c r="AF271" s="48" t="str">
        <f t="shared" si="38"/>
        <v>-</v>
      </c>
      <c r="AG271" s="48" t="str">
        <f t="shared" si="39"/>
        <v>-</v>
      </c>
    </row>
    <row r="272" spans="1:33" ht="15" thickBot="1" x14ac:dyDescent="0.35">
      <c r="A272" s="574"/>
      <c r="B272" s="346" t="s">
        <v>562</v>
      </c>
      <c r="C272" s="347">
        <v>163</v>
      </c>
      <c r="D272" s="335"/>
      <c r="E272" s="348">
        <v>0.8</v>
      </c>
      <c r="F272" s="349">
        <v>0.6</v>
      </c>
      <c r="G272" s="349">
        <v>0.3</v>
      </c>
      <c r="H272" s="348">
        <v>0.8</v>
      </c>
      <c r="I272" s="347" t="s">
        <v>578</v>
      </c>
      <c r="J272" s="388"/>
      <c r="K272" s="336"/>
      <c r="L272" s="336"/>
      <c r="M272" s="336"/>
      <c r="N272" s="336"/>
      <c r="O272" s="336"/>
      <c r="P272" s="336"/>
      <c r="Q272" s="336"/>
      <c r="R272" s="336"/>
      <c r="S272" s="336"/>
      <c r="T272" s="336"/>
      <c r="U272" s="351"/>
      <c r="V272" s="352" t="s">
        <v>379</v>
      </c>
      <c r="W272" s="323">
        <v>1</v>
      </c>
      <c r="X272" s="324">
        <v>1.71</v>
      </c>
      <c r="Z272" s="48">
        <f t="shared" si="32"/>
        <v>1.71</v>
      </c>
      <c r="AA272" s="48" t="str">
        <f t="shared" si="33"/>
        <v>-</v>
      </c>
      <c r="AB272" s="48" t="str">
        <f t="shared" si="34"/>
        <v>-</v>
      </c>
      <c r="AC272" s="48" t="str">
        <f t="shared" si="35"/>
        <v>-</v>
      </c>
      <c r="AD272" s="48" t="str">
        <f t="shared" si="36"/>
        <v>-</v>
      </c>
      <c r="AE272" s="48" t="str">
        <f t="shared" si="37"/>
        <v>-</v>
      </c>
      <c r="AF272" s="48" t="str">
        <f t="shared" si="38"/>
        <v>-</v>
      </c>
      <c r="AG272" s="48" t="str">
        <f t="shared" si="39"/>
        <v>-</v>
      </c>
    </row>
    <row r="273" spans="1:33" ht="15" thickBot="1" x14ac:dyDescent="0.35">
      <c r="A273" s="574"/>
      <c r="B273" s="346" t="s">
        <v>562</v>
      </c>
      <c r="C273" s="347">
        <v>155</v>
      </c>
      <c r="D273" s="335"/>
      <c r="E273" s="348">
        <v>0.8</v>
      </c>
      <c r="F273" s="349">
        <v>0.6</v>
      </c>
      <c r="G273" s="349">
        <v>0.3</v>
      </c>
      <c r="H273" s="348">
        <v>0.8</v>
      </c>
      <c r="I273" s="347" t="s">
        <v>578</v>
      </c>
      <c r="J273" s="350"/>
      <c r="K273" s="336"/>
      <c r="L273" s="336"/>
      <c r="M273" s="336"/>
      <c r="N273" s="336"/>
      <c r="O273" s="336"/>
      <c r="P273" s="336"/>
      <c r="Q273" s="336"/>
      <c r="R273" s="336"/>
      <c r="S273" s="336"/>
      <c r="T273" s="336"/>
      <c r="U273" s="351"/>
      <c r="V273" s="352" t="s">
        <v>379</v>
      </c>
      <c r="W273" s="323">
        <v>1</v>
      </c>
      <c r="X273" s="324">
        <v>1.79</v>
      </c>
      <c r="Z273" s="48">
        <f t="shared" si="32"/>
        <v>1.79</v>
      </c>
      <c r="AA273" s="48" t="str">
        <f t="shared" si="33"/>
        <v>-</v>
      </c>
      <c r="AB273" s="48" t="str">
        <f t="shared" si="34"/>
        <v>-</v>
      </c>
      <c r="AC273" s="48" t="str">
        <f t="shared" si="35"/>
        <v>-</v>
      </c>
      <c r="AD273" s="48" t="str">
        <f t="shared" si="36"/>
        <v>-</v>
      </c>
      <c r="AE273" s="48" t="str">
        <f t="shared" si="37"/>
        <v>-</v>
      </c>
      <c r="AF273" s="48" t="str">
        <f t="shared" si="38"/>
        <v>-</v>
      </c>
      <c r="AG273" s="48" t="str">
        <f t="shared" si="39"/>
        <v>-</v>
      </c>
    </row>
    <row r="274" spans="1:33" ht="15" thickBot="1" x14ac:dyDescent="0.35">
      <c r="A274" s="574"/>
      <c r="B274" s="346" t="s">
        <v>562</v>
      </c>
      <c r="C274" s="347">
        <v>147</v>
      </c>
      <c r="D274" s="335"/>
      <c r="E274" s="348">
        <v>0.8</v>
      </c>
      <c r="F274" s="349">
        <v>0.6</v>
      </c>
      <c r="G274" s="349">
        <v>0.3</v>
      </c>
      <c r="H274" s="348">
        <v>0.8</v>
      </c>
      <c r="I274" s="347"/>
      <c r="J274" s="350" t="s">
        <v>578</v>
      </c>
      <c r="K274" s="336"/>
      <c r="L274" s="336"/>
      <c r="M274" s="336"/>
      <c r="N274" s="336"/>
      <c r="O274" s="336"/>
      <c r="P274" s="336"/>
      <c r="Q274" s="336"/>
      <c r="R274" s="336"/>
      <c r="S274" s="336"/>
      <c r="T274" s="336"/>
      <c r="U274" s="351"/>
      <c r="V274" s="352" t="s">
        <v>122</v>
      </c>
      <c r="W274" s="323">
        <v>1</v>
      </c>
      <c r="X274" s="324">
        <v>1.81</v>
      </c>
      <c r="Z274" s="48" t="str">
        <f t="shared" si="32"/>
        <v>-</v>
      </c>
      <c r="AA274" s="48">
        <f t="shared" si="33"/>
        <v>1.81</v>
      </c>
      <c r="AB274" s="48" t="str">
        <f t="shared" si="34"/>
        <v>-</v>
      </c>
      <c r="AC274" s="48" t="str">
        <f t="shared" si="35"/>
        <v>-</v>
      </c>
      <c r="AD274" s="48" t="str">
        <f t="shared" si="36"/>
        <v>-</v>
      </c>
      <c r="AE274" s="48" t="str">
        <f t="shared" si="37"/>
        <v>-</v>
      </c>
      <c r="AF274" s="48" t="str">
        <f t="shared" si="38"/>
        <v>-</v>
      </c>
      <c r="AG274" s="48" t="str">
        <f t="shared" si="39"/>
        <v>-</v>
      </c>
    </row>
    <row r="275" spans="1:33" ht="15" thickBot="1" x14ac:dyDescent="0.35">
      <c r="A275" s="574"/>
      <c r="B275" s="346" t="s">
        <v>562</v>
      </c>
      <c r="C275" s="347">
        <v>139</v>
      </c>
      <c r="D275" s="335"/>
      <c r="E275" s="348">
        <v>0.8</v>
      </c>
      <c r="F275" s="349">
        <v>0.6</v>
      </c>
      <c r="G275" s="349">
        <v>0.3</v>
      </c>
      <c r="H275" s="348">
        <v>0.8</v>
      </c>
      <c r="I275" s="347" t="s">
        <v>578</v>
      </c>
      <c r="J275" s="350"/>
      <c r="K275" s="336"/>
      <c r="L275" s="336"/>
      <c r="M275" s="336"/>
      <c r="N275" s="336"/>
      <c r="O275" s="336"/>
      <c r="P275" s="336"/>
      <c r="Q275" s="336"/>
      <c r="R275" s="336"/>
      <c r="S275" s="336"/>
      <c r="T275" s="336"/>
      <c r="U275" s="351"/>
      <c r="V275" s="352" t="s">
        <v>379</v>
      </c>
      <c r="W275" s="323">
        <v>1</v>
      </c>
      <c r="X275" s="324">
        <v>1.81</v>
      </c>
      <c r="Z275" s="48">
        <f t="shared" si="32"/>
        <v>1.81</v>
      </c>
      <c r="AA275" s="48" t="str">
        <f t="shared" si="33"/>
        <v>-</v>
      </c>
      <c r="AB275" s="48" t="str">
        <f t="shared" si="34"/>
        <v>-</v>
      </c>
      <c r="AC275" s="48" t="str">
        <f t="shared" si="35"/>
        <v>-</v>
      </c>
      <c r="AD275" s="48" t="str">
        <f t="shared" si="36"/>
        <v>-</v>
      </c>
      <c r="AE275" s="48" t="str">
        <f t="shared" si="37"/>
        <v>-</v>
      </c>
      <c r="AF275" s="48" t="str">
        <f t="shared" si="38"/>
        <v>-</v>
      </c>
      <c r="AG275" s="48" t="str">
        <f t="shared" si="39"/>
        <v>-</v>
      </c>
    </row>
    <row r="276" spans="1:33" ht="15" thickBot="1" x14ac:dyDescent="0.35">
      <c r="A276" s="574"/>
      <c r="B276" s="346" t="s">
        <v>562</v>
      </c>
      <c r="C276" s="347">
        <v>131</v>
      </c>
      <c r="D276" s="335"/>
      <c r="E276" s="348">
        <v>0.8</v>
      </c>
      <c r="F276" s="349">
        <v>0.6</v>
      </c>
      <c r="G276" s="349">
        <v>0.3</v>
      </c>
      <c r="H276" s="348">
        <v>0.8</v>
      </c>
      <c r="I276" s="347" t="s">
        <v>578</v>
      </c>
      <c r="J276" s="350"/>
      <c r="K276" s="336"/>
      <c r="L276" s="336"/>
      <c r="M276" s="336"/>
      <c r="N276" s="336"/>
      <c r="O276" s="336"/>
      <c r="P276" s="336"/>
      <c r="Q276" s="336"/>
      <c r="R276" s="336"/>
      <c r="S276" s="336"/>
      <c r="T276" s="336"/>
      <c r="U276" s="351"/>
      <c r="V276" s="352" t="s">
        <v>379</v>
      </c>
      <c r="W276" s="323">
        <v>1</v>
      </c>
      <c r="X276" s="324">
        <v>1.82</v>
      </c>
      <c r="Z276" s="48">
        <f t="shared" si="32"/>
        <v>1.82</v>
      </c>
      <c r="AA276" s="48" t="str">
        <f t="shared" si="33"/>
        <v>-</v>
      </c>
      <c r="AB276" s="48" t="str">
        <f t="shared" si="34"/>
        <v>-</v>
      </c>
      <c r="AC276" s="48" t="str">
        <f t="shared" si="35"/>
        <v>-</v>
      </c>
      <c r="AD276" s="48" t="str">
        <f t="shared" si="36"/>
        <v>-</v>
      </c>
      <c r="AE276" s="48" t="str">
        <f t="shared" si="37"/>
        <v>-</v>
      </c>
      <c r="AF276" s="48" t="str">
        <f t="shared" si="38"/>
        <v>-</v>
      </c>
      <c r="AG276" s="48" t="str">
        <f t="shared" si="39"/>
        <v>-</v>
      </c>
    </row>
    <row r="277" spans="1:33" ht="15" thickBot="1" x14ac:dyDescent="0.35">
      <c r="A277" s="574"/>
      <c r="B277" s="346" t="s">
        <v>562</v>
      </c>
      <c r="C277" s="347">
        <v>123</v>
      </c>
      <c r="D277" s="335"/>
      <c r="E277" s="348">
        <v>0.8</v>
      </c>
      <c r="F277" s="349">
        <v>0.6</v>
      </c>
      <c r="G277" s="349">
        <v>0.3</v>
      </c>
      <c r="H277" s="348">
        <v>0.8</v>
      </c>
      <c r="I277" s="347" t="s">
        <v>578</v>
      </c>
      <c r="J277" s="350"/>
      <c r="K277" s="336"/>
      <c r="L277" s="336"/>
      <c r="M277" s="336"/>
      <c r="N277" s="336"/>
      <c r="O277" s="336"/>
      <c r="P277" s="336"/>
      <c r="Q277" s="336"/>
      <c r="R277" s="336"/>
      <c r="S277" s="336"/>
      <c r="T277" s="336"/>
      <c r="U277" s="351"/>
      <c r="V277" s="352" t="s">
        <v>379</v>
      </c>
      <c r="W277" s="323">
        <v>1</v>
      </c>
      <c r="X277" s="324">
        <v>1.85</v>
      </c>
      <c r="Z277" s="48">
        <f t="shared" si="32"/>
        <v>1.85</v>
      </c>
      <c r="AA277" s="48" t="str">
        <f t="shared" si="33"/>
        <v>-</v>
      </c>
      <c r="AB277" s="48" t="str">
        <f t="shared" si="34"/>
        <v>-</v>
      </c>
      <c r="AC277" s="48" t="str">
        <f t="shared" si="35"/>
        <v>-</v>
      </c>
      <c r="AD277" s="48" t="str">
        <f t="shared" si="36"/>
        <v>-</v>
      </c>
      <c r="AE277" s="48" t="str">
        <f t="shared" si="37"/>
        <v>-</v>
      </c>
      <c r="AF277" s="48" t="str">
        <f t="shared" si="38"/>
        <v>-</v>
      </c>
      <c r="AG277" s="48" t="str">
        <f t="shared" si="39"/>
        <v>-</v>
      </c>
    </row>
    <row r="278" spans="1:33" ht="15" thickBot="1" x14ac:dyDescent="0.35">
      <c r="A278" s="574"/>
      <c r="B278" s="346" t="s">
        <v>562</v>
      </c>
      <c r="C278" s="347">
        <v>115</v>
      </c>
      <c r="D278" s="335"/>
      <c r="E278" s="348">
        <v>0.8</v>
      </c>
      <c r="F278" s="349">
        <v>0.6</v>
      </c>
      <c r="G278" s="349">
        <v>0.3</v>
      </c>
      <c r="H278" s="348">
        <v>0.8</v>
      </c>
      <c r="I278" s="347" t="s">
        <v>578</v>
      </c>
      <c r="J278" s="350"/>
      <c r="K278" s="336"/>
      <c r="L278" s="336"/>
      <c r="M278" s="336"/>
      <c r="N278" s="336"/>
      <c r="O278" s="336"/>
      <c r="P278" s="336"/>
      <c r="Q278" s="336"/>
      <c r="R278" s="336"/>
      <c r="S278" s="336"/>
      <c r="T278" s="336"/>
      <c r="U278" s="351"/>
      <c r="V278" s="352" t="s">
        <v>379</v>
      </c>
      <c r="W278" s="323">
        <v>1</v>
      </c>
      <c r="X278" s="324">
        <v>1.85</v>
      </c>
      <c r="Z278" s="48">
        <f t="shared" si="32"/>
        <v>1.85</v>
      </c>
      <c r="AA278" s="48" t="str">
        <f t="shared" si="33"/>
        <v>-</v>
      </c>
      <c r="AB278" s="48" t="str">
        <f t="shared" si="34"/>
        <v>-</v>
      </c>
      <c r="AC278" s="48" t="str">
        <f t="shared" si="35"/>
        <v>-</v>
      </c>
      <c r="AD278" s="48" t="str">
        <f t="shared" si="36"/>
        <v>-</v>
      </c>
      <c r="AE278" s="48" t="str">
        <f t="shared" si="37"/>
        <v>-</v>
      </c>
      <c r="AF278" s="48" t="str">
        <f t="shared" si="38"/>
        <v>-</v>
      </c>
      <c r="AG278" s="48" t="str">
        <f t="shared" si="39"/>
        <v>-</v>
      </c>
    </row>
    <row r="279" spans="1:33" ht="15" thickBot="1" x14ac:dyDescent="0.35">
      <c r="A279" s="574"/>
      <c r="B279" s="346" t="s">
        <v>564</v>
      </c>
      <c r="C279" s="347">
        <v>140</v>
      </c>
      <c r="D279" s="335"/>
      <c r="E279" s="348">
        <v>0.8</v>
      </c>
      <c r="F279" s="349">
        <v>0.6</v>
      </c>
      <c r="G279" s="349">
        <v>0.3</v>
      </c>
      <c r="H279" s="348">
        <v>0.8</v>
      </c>
      <c r="I279" s="347" t="s">
        <v>578</v>
      </c>
      <c r="J279" s="350"/>
      <c r="K279" s="336"/>
      <c r="L279" s="336"/>
      <c r="M279" s="336"/>
      <c r="N279" s="336"/>
      <c r="O279" s="336"/>
      <c r="P279" s="336"/>
      <c r="Q279" s="336"/>
      <c r="R279" s="336"/>
      <c r="S279" s="336"/>
      <c r="T279" s="336"/>
      <c r="U279" s="351"/>
      <c r="V279" s="352" t="s">
        <v>379</v>
      </c>
      <c r="W279" s="323">
        <v>1</v>
      </c>
      <c r="X279" s="324">
        <v>0.8</v>
      </c>
      <c r="Z279" s="48">
        <f t="shared" si="32"/>
        <v>0.8</v>
      </c>
      <c r="AA279" s="48" t="str">
        <f t="shared" si="33"/>
        <v>-</v>
      </c>
      <c r="AB279" s="48" t="str">
        <f t="shared" si="34"/>
        <v>-</v>
      </c>
      <c r="AC279" s="48" t="str">
        <f t="shared" si="35"/>
        <v>-</v>
      </c>
      <c r="AD279" s="48" t="str">
        <f t="shared" si="36"/>
        <v>-</v>
      </c>
      <c r="AE279" s="48" t="str">
        <f t="shared" si="37"/>
        <v>-</v>
      </c>
      <c r="AF279" s="48" t="str">
        <f t="shared" si="38"/>
        <v>-</v>
      </c>
      <c r="AG279" s="48" t="str">
        <f t="shared" si="39"/>
        <v>-</v>
      </c>
    </row>
    <row r="280" spans="1:33" ht="15" thickBot="1" x14ac:dyDescent="0.35">
      <c r="A280" s="574"/>
      <c r="B280" s="346" t="s">
        <v>564</v>
      </c>
      <c r="C280" s="347">
        <v>150</v>
      </c>
      <c r="D280" s="335"/>
      <c r="E280" s="348">
        <v>0.8</v>
      </c>
      <c r="F280" s="349">
        <v>0.6</v>
      </c>
      <c r="G280" s="349">
        <v>0.3</v>
      </c>
      <c r="H280" s="348">
        <v>0.8</v>
      </c>
      <c r="I280" s="347" t="s">
        <v>578</v>
      </c>
      <c r="J280" s="388"/>
      <c r="K280" s="336"/>
      <c r="L280" s="336"/>
      <c r="M280" s="336"/>
      <c r="N280" s="336"/>
      <c r="O280" s="336"/>
      <c r="P280" s="336"/>
      <c r="Q280" s="336"/>
      <c r="R280" s="336"/>
      <c r="S280" s="336"/>
      <c r="T280" s="336"/>
      <c r="U280" s="351"/>
      <c r="V280" s="352" t="s">
        <v>379</v>
      </c>
      <c r="W280" s="323">
        <v>1</v>
      </c>
      <c r="X280" s="324">
        <v>0.8</v>
      </c>
      <c r="Z280" s="48">
        <f t="shared" si="32"/>
        <v>0.8</v>
      </c>
      <c r="AA280" s="48" t="str">
        <f t="shared" si="33"/>
        <v>-</v>
      </c>
      <c r="AB280" s="48" t="str">
        <f t="shared" si="34"/>
        <v>-</v>
      </c>
      <c r="AC280" s="48" t="str">
        <f t="shared" si="35"/>
        <v>-</v>
      </c>
      <c r="AD280" s="48" t="str">
        <f t="shared" si="36"/>
        <v>-</v>
      </c>
      <c r="AE280" s="48" t="str">
        <f t="shared" si="37"/>
        <v>-</v>
      </c>
      <c r="AF280" s="48" t="str">
        <f t="shared" si="38"/>
        <v>-</v>
      </c>
      <c r="AG280" s="48" t="str">
        <f t="shared" si="39"/>
        <v>-</v>
      </c>
    </row>
    <row r="281" spans="1:33" ht="15" thickBot="1" x14ac:dyDescent="0.35">
      <c r="A281" s="574"/>
      <c r="B281" s="346" t="s">
        <v>561</v>
      </c>
      <c r="C281" s="347">
        <v>175</v>
      </c>
      <c r="D281" s="335"/>
      <c r="E281" s="348">
        <v>0.8</v>
      </c>
      <c r="F281" s="349">
        <v>0.6</v>
      </c>
      <c r="G281" s="349">
        <v>0.3</v>
      </c>
      <c r="H281" s="348">
        <v>0.8</v>
      </c>
      <c r="I281" s="347" t="s">
        <v>578</v>
      </c>
      <c r="J281" s="350"/>
      <c r="K281" s="336"/>
      <c r="L281" s="336"/>
      <c r="M281" s="336"/>
      <c r="N281" s="336"/>
      <c r="O281" s="336"/>
      <c r="P281" s="336"/>
      <c r="Q281" s="336"/>
      <c r="R281" s="336"/>
      <c r="S281" s="336"/>
      <c r="T281" s="336"/>
      <c r="U281" s="351"/>
      <c r="V281" s="352" t="s">
        <v>379</v>
      </c>
      <c r="W281" s="323">
        <v>1</v>
      </c>
      <c r="X281" s="324">
        <v>1.35</v>
      </c>
      <c r="Z281" s="48">
        <f t="shared" si="32"/>
        <v>1.35</v>
      </c>
      <c r="AA281" s="48" t="str">
        <f t="shared" si="33"/>
        <v>-</v>
      </c>
      <c r="AB281" s="48" t="str">
        <f t="shared" si="34"/>
        <v>-</v>
      </c>
      <c r="AC281" s="48" t="str">
        <f t="shared" si="35"/>
        <v>-</v>
      </c>
      <c r="AD281" s="48" t="str">
        <f t="shared" si="36"/>
        <v>-</v>
      </c>
      <c r="AE281" s="48" t="str">
        <f t="shared" si="37"/>
        <v>-</v>
      </c>
      <c r="AF281" s="48" t="str">
        <f t="shared" si="38"/>
        <v>-</v>
      </c>
      <c r="AG281" s="48" t="str">
        <f t="shared" si="39"/>
        <v>-</v>
      </c>
    </row>
    <row r="282" spans="1:33" ht="15" thickBot="1" x14ac:dyDescent="0.35">
      <c r="A282" s="574"/>
      <c r="B282" s="346" t="s">
        <v>561</v>
      </c>
      <c r="C282" s="347">
        <v>172</v>
      </c>
      <c r="D282" s="335"/>
      <c r="E282" s="348">
        <v>0.8</v>
      </c>
      <c r="F282" s="349">
        <v>0.6</v>
      </c>
      <c r="G282" s="349">
        <v>0.3</v>
      </c>
      <c r="H282" s="348">
        <v>0.8</v>
      </c>
      <c r="I282" s="347" t="s">
        <v>578</v>
      </c>
      <c r="J282" s="350"/>
      <c r="K282" s="336"/>
      <c r="L282" s="336"/>
      <c r="M282" s="336"/>
      <c r="N282" s="336"/>
      <c r="O282" s="336"/>
      <c r="P282" s="336"/>
      <c r="Q282" s="336"/>
      <c r="R282" s="336"/>
      <c r="S282" s="336"/>
      <c r="T282" s="336"/>
      <c r="U282" s="351"/>
      <c r="V282" s="352" t="s">
        <v>379</v>
      </c>
      <c r="W282" s="323">
        <v>1</v>
      </c>
      <c r="X282" s="324">
        <v>0.56999999999999995</v>
      </c>
      <c r="Z282" s="48">
        <f t="shared" si="32"/>
        <v>0.56999999999999995</v>
      </c>
      <c r="AA282" s="48" t="str">
        <f t="shared" si="33"/>
        <v>-</v>
      </c>
      <c r="AB282" s="48" t="str">
        <f t="shared" si="34"/>
        <v>-</v>
      </c>
      <c r="AC282" s="48" t="str">
        <f t="shared" si="35"/>
        <v>-</v>
      </c>
      <c r="AD282" s="48" t="str">
        <f t="shared" si="36"/>
        <v>-</v>
      </c>
      <c r="AE282" s="48" t="str">
        <f t="shared" si="37"/>
        <v>-</v>
      </c>
      <c r="AF282" s="48" t="str">
        <f t="shared" si="38"/>
        <v>-</v>
      </c>
      <c r="AG282" s="48" t="str">
        <f t="shared" si="39"/>
        <v>-</v>
      </c>
    </row>
    <row r="283" spans="1:33" ht="15" thickBot="1" x14ac:dyDescent="0.35">
      <c r="A283" s="574"/>
      <c r="B283" s="346" t="s">
        <v>561</v>
      </c>
      <c r="C283" s="347">
        <v>164</v>
      </c>
      <c r="D283" s="335"/>
      <c r="E283" s="348">
        <v>0.8</v>
      </c>
      <c r="F283" s="349">
        <v>0.6</v>
      </c>
      <c r="G283" s="349">
        <v>0.3</v>
      </c>
      <c r="H283" s="348">
        <v>0.8</v>
      </c>
      <c r="I283" s="347" t="s">
        <v>578</v>
      </c>
      <c r="J283" s="350"/>
      <c r="K283" s="336"/>
      <c r="L283" s="336"/>
      <c r="M283" s="336"/>
      <c r="N283" s="336"/>
      <c r="O283" s="336"/>
      <c r="P283" s="336"/>
      <c r="Q283" s="336"/>
      <c r="R283" s="336"/>
      <c r="S283" s="336"/>
      <c r="T283" s="336"/>
      <c r="U283" s="351"/>
      <c r="V283" s="352" t="s">
        <v>379</v>
      </c>
      <c r="W283" s="323">
        <v>1</v>
      </c>
      <c r="X283" s="324">
        <v>0.56999999999999995</v>
      </c>
      <c r="Z283" s="48">
        <f t="shared" si="32"/>
        <v>0.56999999999999995</v>
      </c>
      <c r="AA283" s="48" t="str">
        <f t="shared" si="33"/>
        <v>-</v>
      </c>
      <c r="AB283" s="48" t="str">
        <f t="shared" si="34"/>
        <v>-</v>
      </c>
      <c r="AC283" s="48" t="str">
        <f t="shared" si="35"/>
        <v>-</v>
      </c>
      <c r="AD283" s="48" t="str">
        <f t="shared" si="36"/>
        <v>-</v>
      </c>
      <c r="AE283" s="48" t="str">
        <f t="shared" si="37"/>
        <v>-</v>
      </c>
      <c r="AF283" s="48" t="str">
        <f t="shared" si="38"/>
        <v>-</v>
      </c>
      <c r="AG283" s="48" t="str">
        <f t="shared" si="39"/>
        <v>-</v>
      </c>
    </row>
    <row r="284" spans="1:33" ht="15" thickBot="1" x14ac:dyDescent="0.35">
      <c r="A284" s="574"/>
      <c r="B284" s="346" t="s">
        <v>561</v>
      </c>
      <c r="C284" s="347">
        <v>156</v>
      </c>
      <c r="D284" s="335"/>
      <c r="E284" s="348">
        <v>0.8</v>
      </c>
      <c r="F284" s="349">
        <v>0.6</v>
      </c>
      <c r="G284" s="349">
        <v>0.3</v>
      </c>
      <c r="H284" s="348">
        <v>0.8</v>
      </c>
      <c r="I284" s="347" t="s">
        <v>578</v>
      </c>
      <c r="J284" s="350"/>
      <c r="K284" s="336"/>
      <c r="L284" s="336"/>
      <c r="M284" s="336"/>
      <c r="N284" s="336"/>
      <c r="O284" s="336"/>
      <c r="P284" s="336"/>
      <c r="Q284" s="336"/>
      <c r="R284" s="336"/>
      <c r="S284" s="336"/>
      <c r="T284" s="336"/>
      <c r="U284" s="351"/>
      <c r="V284" s="352" t="s">
        <v>379</v>
      </c>
      <c r="W284" s="323">
        <v>1</v>
      </c>
      <c r="X284" s="324">
        <v>0.56999999999999995</v>
      </c>
      <c r="Z284" s="48">
        <f t="shared" si="32"/>
        <v>0.56999999999999995</v>
      </c>
      <c r="AA284" s="48" t="str">
        <f t="shared" si="33"/>
        <v>-</v>
      </c>
      <c r="AB284" s="48" t="str">
        <f t="shared" si="34"/>
        <v>-</v>
      </c>
      <c r="AC284" s="48" t="str">
        <f t="shared" si="35"/>
        <v>-</v>
      </c>
      <c r="AD284" s="48" t="str">
        <f t="shared" si="36"/>
        <v>-</v>
      </c>
      <c r="AE284" s="48" t="str">
        <f t="shared" si="37"/>
        <v>-</v>
      </c>
      <c r="AF284" s="48" t="str">
        <f t="shared" si="38"/>
        <v>-</v>
      </c>
      <c r="AG284" s="48" t="str">
        <f t="shared" si="39"/>
        <v>-</v>
      </c>
    </row>
    <row r="285" spans="1:33" ht="15" thickBot="1" x14ac:dyDescent="0.35">
      <c r="A285" s="574"/>
      <c r="B285" s="346" t="s">
        <v>561</v>
      </c>
      <c r="C285" s="347">
        <v>148</v>
      </c>
      <c r="D285" s="335"/>
      <c r="E285" s="348">
        <v>0.8</v>
      </c>
      <c r="F285" s="349">
        <v>0.6</v>
      </c>
      <c r="G285" s="349">
        <v>0.3</v>
      </c>
      <c r="H285" s="348">
        <v>0.8</v>
      </c>
      <c r="I285" s="347"/>
      <c r="J285" s="350" t="s">
        <v>578</v>
      </c>
      <c r="K285" s="336"/>
      <c r="L285" s="336"/>
      <c r="M285" s="336"/>
      <c r="N285" s="336"/>
      <c r="O285" s="336"/>
      <c r="P285" s="336"/>
      <c r="Q285" s="336"/>
      <c r="R285" s="336"/>
      <c r="S285" s="336"/>
      <c r="T285" s="336"/>
      <c r="U285" s="351"/>
      <c r="V285" s="352" t="s">
        <v>122</v>
      </c>
      <c r="W285" s="323">
        <v>1</v>
      </c>
      <c r="X285" s="324">
        <v>0.56999999999999995</v>
      </c>
      <c r="Z285" s="48" t="str">
        <f t="shared" si="32"/>
        <v>-</v>
      </c>
      <c r="AA285" s="48">
        <f t="shared" si="33"/>
        <v>0.56999999999999995</v>
      </c>
      <c r="AB285" s="48" t="str">
        <f t="shared" si="34"/>
        <v>-</v>
      </c>
      <c r="AC285" s="48" t="str">
        <f t="shared" si="35"/>
        <v>-</v>
      </c>
      <c r="AD285" s="48" t="str">
        <f t="shared" si="36"/>
        <v>-</v>
      </c>
      <c r="AE285" s="48" t="str">
        <f t="shared" si="37"/>
        <v>-</v>
      </c>
      <c r="AF285" s="48" t="str">
        <f t="shared" si="38"/>
        <v>-</v>
      </c>
      <c r="AG285" s="48" t="str">
        <f t="shared" si="39"/>
        <v>-</v>
      </c>
    </row>
    <row r="286" spans="1:33" ht="15" thickBot="1" x14ac:dyDescent="0.35">
      <c r="A286" s="574"/>
      <c r="B286" s="346" t="s">
        <v>561</v>
      </c>
      <c r="C286" s="347">
        <v>140</v>
      </c>
      <c r="D286" s="335"/>
      <c r="E286" s="348">
        <v>0.8</v>
      </c>
      <c r="F286" s="349">
        <v>0.6</v>
      </c>
      <c r="G286" s="349">
        <v>0.3</v>
      </c>
      <c r="H286" s="348">
        <v>0.8</v>
      </c>
      <c r="I286" s="347" t="s">
        <v>578</v>
      </c>
      <c r="J286" s="350"/>
      <c r="K286" s="336"/>
      <c r="L286" s="336"/>
      <c r="M286" s="336"/>
      <c r="N286" s="336"/>
      <c r="O286" s="336"/>
      <c r="P286" s="336"/>
      <c r="Q286" s="336"/>
      <c r="R286" s="336"/>
      <c r="S286" s="336"/>
      <c r="T286" s="336"/>
      <c r="U286" s="351"/>
      <c r="V286" s="352" t="s">
        <v>379</v>
      </c>
      <c r="W286" s="323">
        <v>1</v>
      </c>
      <c r="X286" s="324">
        <v>0.56999999999999995</v>
      </c>
      <c r="Z286" s="48">
        <f t="shared" si="32"/>
        <v>0.56999999999999995</v>
      </c>
      <c r="AA286" s="48" t="str">
        <f t="shared" si="33"/>
        <v>-</v>
      </c>
      <c r="AB286" s="48" t="str">
        <f t="shared" si="34"/>
        <v>-</v>
      </c>
      <c r="AC286" s="48" t="str">
        <f t="shared" si="35"/>
        <v>-</v>
      </c>
      <c r="AD286" s="48" t="str">
        <f t="shared" si="36"/>
        <v>-</v>
      </c>
      <c r="AE286" s="48" t="str">
        <f t="shared" si="37"/>
        <v>-</v>
      </c>
      <c r="AF286" s="48" t="str">
        <f t="shared" si="38"/>
        <v>-</v>
      </c>
      <c r="AG286" s="48" t="str">
        <f t="shared" si="39"/>
        <v>-</v>
      </c>
    </row>
    <row r="287" spans="1:33" ht="15" thickBot="1" x14ac:dyDescent="0.35">
      <c r="A287" s="574"/>
      <c r="B287" s="346" t="s">
        <v>561</v>
      </c>
      <c r="C287" s="347">
        <v>132</v>
      </c>
      <c r="D287" s="335"/>
      <c r="E287" s="348">
        <v>0.8</v>
      </c>
      <c r="F287" s="349">
        <v>0.6</v>
      </c>
      <c r="G287" s="349">
        <v>0.3</v>
      </c>
      <c r="H287" s="348">
        <v>0.8</v>
      </c>
      <c r="I287" s="346"/>
      <c r="J287" s="350" t="s">
        <v>578</v>
      </c>
      <c r="K287" s="336"/>
      <c r="L287" s="336"/>
      <c r="M287" s="336"/>
      <c r="N287" s="336"/>
      <c r="O287" s="336"/>
      <c r="P287" s="336"/>
      <c r="Q287" s="336"/>
      <c r="R287" s="336"/>
      <c r="S287" s="336"/>
      <c r="T287" s="336"/>
      <c r="U287" s="351"/>
      <c r="V287" s="352" t="s">
        <v>122</v>
      </c>
      <c r="W287" s="323">
        <v>1</v>
      </c>
      <c r="X287" s="324">
        <v>0.64</v>
      </c>
      <c r="Z287" s="48" t="str">
        <f t="shared" si="32"/>
        <v>-</v>
      </c>
      <c r="AA287" s="48">
        <f t="shared" si="33"/>
        <v>0.64</v>
      </c>
      <c r="AB287" s="48" t="str">
        <f t="shared" si="34"/>
        <v>-</v>
      </c>
      <c r="AC287" s="48" t="str">
        <f t="shared" si="35"/>
        <v>-</v>
      </c>
      <c r="AD287" s="48" t="str">
        <f t="shared" si="36"/>
        <v>-</v>
      </c>
      <c r="AE287" s="48" t="str">
        <f t="shared" si="37"/>
        <v>-</v>
      </c>
      <c r="AF287" s="48" t="str">
        <f t="shared" si="38"/>
        <v>-</v>
      </c>
      <c r="AG287" s="48" t="str">
        <f t="shared" si="39"/>
        <v>-</v>
      </c>
    </row>
    <row r="288" spans="1:33" ht="15" thickBot="1" x14ac:dyDescent="0.35">
      <c r="A288" s="574"/>
      <c r="B288" s="346" t="s">
        <v>561</v>
      </c>
      <c r="C288" s="347">
        <v>124</v>
      </c>
      <c r="D288" s="335"/>
      <c r="E288" s="348">
        <v>0.8</v>
      </c>
      <c r="F288" s="349">
        <v>0.6</v>
      </c>
      <c r="G288" s="349">
        <v>0.3</v>
      </c>
      <c r="H288" s="348">
        <v>0.8</v>
      </c>
      <c r="I288" s="347"/>
      <c r="J288" s="350" t="s">
        <v>578</v>
      </c>
      <c r="K288" s="336"/>
      <c r="L288" s="336"/>
      <c r="M288" s="336"/>
      <c r="N288" s="336"/>
      <c r="O288" s="336"/>
      <c r="P288" s="336"/>
      <c r="Q288" s="336"/>
      <c r="R288" s="336"/>
      <c r="S288" s="336"/>
      <c r="T288" s="336"/>
      <c r="U288" s="351"/>
      <c r="V288" s="352" t="s">
        <v>122</v>
      </c>
      <c r="W288" s="323">
        <v>1</v>
      </c>
      <c r="X288" s="324">
        <v>1.03</v>
      </c>
      <c r="Z288" s="48" t="str">
        <f t="shared" si="32"/>
        <v>-</v>
      </c>
      <c r="AA288" s="48">
        <f t="shared" si="33"/>
        <v>1.03</v>
      </c>
      <c r="AB288" s="48" t="str">
        <f t="shared" si="34"/>
        <v>-</v>
      </c>
      <c r="AC288" s="48" t="str">
        <f t="shared" si="35"/>
        <v>-</v>
      </c>
      <c r="AD288" s="48" t="str">
        <f t="shared" si="36"/>
        <v>-</v>
      </c>
      <c r="AE288" s="48" t="str">
        <f t="shared" si="37"/>
        <v>-</v>
      </c>
      <c r="AF288" s="48" t="str">
        <f t="shared" si="38"/>
        <v>-</v>
      </c>
      <c r="AG288" s="48" t="str">
        <f t="shared" si="39"/>
        <v>-</v>
      </c>
    </row>
    <row r="289" spans="1:33" ht="15" thickBot="1" x14ac:dyDescent="0.35">
      <c r="A289" s="577"/>
      <c r="B289" s="353" t="s">
        <v>561</v>
      </c>
      <c r="C289" s="354">
        <v>116</v>
      </c>
      <c r="D289" s="355"/>
      <c r="E289" s="356">
        <v>0.8</v>
      </c>
      <c r="F289" s="357">
        <v>0.6</v>
      </c>
      <c r="G289" s="357">
        <v>0.3</v>
      </c>
      <c r="H289" s="356">
        <v>0.8</v>
      </c>
      <c r="I289" s="354" t="s">
        <v>578</v>
      </c>
      <c r="J289" s="358"/>
      <c r="K289" s="359"/>
      <c r="L289" s="359"/>
      <c r="M289" s="359"/>
      <c r="N289" s="359"/>
      <c r="O289" s="359"/>
      <c r="P289" s="359"/>
      <c r="Q289" s="359"/>
      <c r="R289" s="359"/>
      <c r="S289" s="359"/>
      <c r="T289" s="359"/>
      <c r="U289" s="360"/>
      <c r="V289" s="361" t="s">
        <v>379</v>
      </c>
      <c r="W289" s="325">
        <v>1</v>
      </c>
      <c r="X289" s="326">
        <v>0.56999999999999995</v>
      </c>
      <c r="Z289" s="48">
        <f t="shared" si="32"/>
        <v>0.56999999999999995</v>
      </c>
      <c r="AA289" s="48" t="str">
        <f t="shared" si="33"/>
        <v>-</v>
      </c>
      <c r="AB289" s="48" t="str">
        <f t="shared" si="34"/>
        <v>-</v>
      </c>
      <c r="AC289" s="48" t="str">
        <f t="shared" si="35"/>
        <v>-</v>
      </c>
      <c r="AD289" s="48" t="str">
        <f t="shared" si="36"/>
        <v>-</v>
      </c>
      <c r="AE289" s="48" t="str">
        <f t="shared" si="37"/>
        <v>-</v>
      </c>
      <c r="AF289" s="48" t="str">
        <f t="shared" si="38"/>
        <v>-</v>
      </c>
      <c r="AG289" s="48" t="str">
        <f t="shared" si="39"/>
        <v>-</v>
      </c>
    </row>
    <row r="290" spans="1:33" ht="15" thickBot="1" x14ac:dyDescent="0.35">
      <c r="A290" s="573" t="s">
        <v>149</v>
      </c>
      <c r="B290" s="362" t="s">
        <v>562</v>
      </c>
      <c r="C290" s="363">
        <v>107</v>
      </c>
      <c r="D290" s="335"/>
      <c r="E290" s="364">
        <v>0.8</v>
      </c>
      <c r="F290" s="365">
        <v>0.6</v>
      </c>
      <c r="G290" s="365">
        <v>0.3</v>
      </c>
      <c r="H290" s="364">
        <v>0.8</v>
      </c>
      <c r="I290" s="362"/>
      <c r="J290" s="366" t="s">
        <v>578</v>
      </c>
      <c r="K290" s="336"/>
      <c r="L290" s="336"/>
      <c r="M290" s="336"/>
      <c r="N290" s="336"/>
      <c r="O290" s="336"/>
      <c r="P290" s="336"/>
      <c r="Q290" s="336"/>
      <c r="R290" s="336"/>
      <c r="S290" s="336"/>
      <c r="T290" s="336"/>
      <c r="U290" s="351"/>
      <c r="V290" s="352" t="s">
        <v>122</v>
      </c>
      <c r="W290" s="327">
        <v>1</v>
      </c>
      <c r="X290" s="328">
        <v>6.22</v>
      </c>
      <c r="Z290" s="48" t="str">
        <f t="shared" si="32"/>
        <v>-</v>
      </c>
      <c r="AA290" s="48">
        <f t="shared" si="33"/>
        <v>6.22</v>
      </c>
      <c r="AB290" s="48" t="str">
        <f t="shared" si="34"/>
        <v>-</v>
      </c>
      <c r="AC290" s="48" t="str">
        <f t="shared" si="35"/>
        <v>-</v>
      </c>
      <c r="AD290" s="48" t="str">
        <f t="shared" si="36"/>
        <v>-</v>
      </c>
      <c r="AE290" s="48" t="str">
        <f t="shared" si="37"/>
        <v>-</v>
      </c>
      <c r="AF290" s="48" t="str">
        <f t="shared" si="38"/>
        <v>-</v>
      </c>
      <c r="AG290" s="48" t="str">
        <f t="shared" si="39"/>
        <v>-</v>
      </c>
    </row>
    <row r="291" spans="1:33" ht="15" thickBot="1" x14ac:dyDescent="0.35">
      <c r="A291" s="574"/>
      <c r="B291" s="346" t="s">
        <v>564</v>
      </c>
      <c r="C291" s="347">
        <v>119</v>
      </c>
      <c r="D291" s="335"/>
      <c r="E291" s="348">
        <v>0.8</v>
      </c>
      <c r="F291" s="349">
        <v>0.6</v>
      </c>
      <c r="G291" s="349">
        <v>0.3</v>
      </c>
      <c r="H291" s="348">
        <v>0.8</v>
      </c>
      <c r="I291" s="347" t="s">
        <v>578</v>
      </c>
      <c r="J291" s="350"/>
      <c r="K291" s="336"/>
      <c r="L291" s="336"/>
      <c r="M291" s="336"/>
      <c r="N291" s="336"/>
      <c r="O291" s="336"/>
      <c r="P291" s="336"/>
      <c r="Q291" s="336"/>
      <c r="R291" s="336"/>
      <c r="S291" s="336"/>
      <c r="T291" s="336"/>
      <c r="U291" s="351"/>
      <c r="V291" s="352" t="s">
        <v>379</v>
      </c>
      <c r="W291" s="323">
        <v>1</v>
      </c>
      <c r="X291" s="324">
        <v>3.95</v>
      </c>
      <c r="Z291" s="48">
        <f t="shared" si="32"/>
        <v>3.95</v>
      </c>
      <c r="AA291" s="48" t="str">
        <f t="shared" si="33"/>
        <v>-</v>
      </c>
      <c r="AB291" s="48" t="str">
        <f t="shared" si="34"/>
        <v>-</v>
      </c>
      <c r="AC291" s="48" t="str">
        <f t="shared" si="35"/>
        <v>-</v>
      </c>
      <c r="AD291" s="48" t="str">
        <f t="shared" si="36"/>
        <v>-</v>
      </c>
      <c r="AE291" s="48" t="str">
        <f t="shared" si="37"/>
        <v>-</v>
      </c>
      <c r="AF291" s="48" t="str">
        <f t="shared" si="38"/>
        <v>-</v>
      </c>
      <c r="AG291" s="48" t="str">
        <f t="shared" si="39"/>
        <v>-</v>
      </c>
    </row>
    <row r="292" spans="1:33" ht="15" thickBot="1" x14ac:dyDescent="0.35">
      <c r="A292" s="574"/>
      <c r="B292" s="346" t="s">
        <v>564</v>
      </c>
      <c r="C292" s="347">
        <v>127</v>
      </c>
      <c r="D292" s="335"/>
      <c r="E292" s="348">
        <v>0.8</v>
      </c>
      <c r="F292" s="349">
        <v>0.6</v>
      </c>
      <c r="G292" s="349">
        <v>0.3</v>
      </c>
      <c r="H292" s="348">
        <v>0.8</v>
      </c>
      <c r="I292" s="347" t="s">
        <v>578</v>
      </c>
      <c r="J292" s="388"/>
      <c r="K292" s="336"/>
      <c r="L292" s="336"/>
      <c r="M292" s="336"/>
      <c r="N292" s="336"/>
      <c r="O292" s="336"/>
      <c r="P292" s="336"/>
      <c r="Q292" s="336"/>
      <c r="R292" s="336"/>
      <c r="S292" s="336"/>
      <c r="T292" s="336"/>
      <c r="U292" s="351"/>
      <c r="V292" s="352" t="s">
        <v>379</v>
      </c>
      <c r="W292" s="323">
        <v>1</v>
      </c>
      <c r="X292" s="324">
        <v>3.97</v>
      </c>
      <c r="Z292" s="48">
        <f t="shared" si="32"/>
        <v>3.97</v>
      </c>
      <c r="AA292" s="48" t="str">
        <f t="shared" si="33"/>
        <v>-</v>
      </c>
      <c r="AB292" s="48" t="str">
        <f t="shared" si="34"/>
        <v>-</v>
      </c>
      <c r="AC292" s="48" t="str">
        <f t="shared" si="35"/>
        <v>-</v>
      </c>
      <c r="AD292" s="48" t="str">
        <f t="shared" si="36"/>
        <v>-</v>
      </c>
      <c r="AE292" s="48" t="str">
        <f t="shared" si="37"/>
        <v>-</v>
      </c>
      <c r="AF292" s="48" t="str">
        <f t="shared" si="38"/>
        <v>-</v>
      </c>
      <c r="AG292" s="48" t="str">
        <f t="shared" si="39"/>
        <v>-</v>
      </c>
    </row>
    <row r="293" spans="1:33" ht="15" thickBot="1" x14ac:dyDescent="0.35">
      <c r="A293" s="574"/>
      <c r="B293" s="346" t="s">
        <v>564</v>
      </c>
      <c r="C293" s="347">
        <v>135</v>
      </c>
      <c r="D293" s="335"/>
      <c r="E293" s="348">
        <v>0.8</v>
      </c>
      <c r="F293" s="349">
        <v>0.6</v>
      </c>
      <c r="G293" s="349">
        <v>0.3</v>
      </c>
      <c r="H293" s="348">
        <v>0.8</v>
      </c>
      <c r="I293" s="347" t="s">
        <v>578</v>
      </c>
      <c r="J293" s="350"/>
      <c r="K293" s="336"/>
      <c r="L293" s="336"/>
      <c r="M293" s="336"/>
      <c r="N293" s="336"/>
      <c r="O293" s="336"/>
      <c r="P293" s="336"/>
      <c r="Q293" s="336"/>
      <c r="R293" s="336"/>
      <c r="S293" s="336"/>
      <c r="T293" s="336"/>
      <c r="U293" s="351"/>
      <c r="V293" s="352" t="s">
        <v>379</v>
      </c>
      <c r="W293" s="323">
        <v>1</v>
      </c>
      <c r="X293" s="324">
        <v>3.98</v>
      </c>
      <c r="Z293" s="48">
        <f t="shared" si="32"/>
        <v>3.98</v>
      </c>
      <c r="AA293" s="48" t="str">
        <f t="shared" si="33"/>
        <v>-</v>
      </c>
      <c r="AB293" s="48" t="str">
        <f t="shared" si="34"/>
        <v>-</v>
      </c>
      <c r="AC293" s="48" t="str">
        <f t="shared" si="35"/>
        <v>-</v>
      </c>
      <c r="AD293" s="48" t="str">
        <f t="shared" si="36"/>
        <v>-</v>
      </c>
      <c r="AE293" s="48" t="str">
        <f t="shared" si="37"/>
        <v>-</v>
      </c>
      <c r="AF293" s="48" t="str">
        <f t="shared" si="38"/>
        <v>-</v>
      </c>
      <c r="AG293" s="48" t="str">
        <f t="shared" si="39"/>
        <v>-</v>
      </c>
    </row>
    <row r="294" spans="1:33" ht="15" thickBot="1" x14ac:dyDescent="0.35">
      <c r="A294" s="574"/>
      <c r="B294" s="346" t="s">
        <v>564</v>
      </c>
      <c r="C294" s="347">
        <v>143</v>
      </c>
      <c r="D294" s="335"/>
      <c r="E294" s="348">
        <v>0.8</v>
      </c>
      <c r="F294" s="349">
        <v>0.6</v>
      </c>
      <c r="G294" s="349">
        <v>0.3</v>
      </c>
      <c r="H294" s="348">
        <v>0.8</v>
      </c>
      <c r="I294" s="347" t="s">
        <v>578</v>
      </c>
      <c r="J294" s="350"/>
      <c r="K294" s="336"/>
      <c r="L294" s="336"/>
      <c r="M294" s="336"/>
      <c r="N294" s="336"/>
      <c r="O294" s="336"/>
      <c r="P294" s="336"/>
      <c r="Q294" s="336"/>
      <c r="R294" s="336"/>
      <c r="S294" s="336"/>
      <c r="T294" s="336"/>
      <c r="U294" s="351"/>
      <c r="V294" s="352" t="s">
        <v>379</v>
      </c>
      <c r="W294" s="323">
        <v>1</v>
      </c>
      <c r="X294" s="324">
        <v>4.01</v>
      </c>
      <c r="Z294" s="48">
        <f t="shared" si="32"/>
        <v>4.01</v>
      </c>
      <c r="AA294" s="48" t="str">
        <f t="shared" si="33"/>
        <v>-</v>
      </c>
      <c r="AB294" s="48" t="str">
        <f t="shared" si="34"/>
        <v>-</v>
      </c>
      <c r="AC294" s="48" t="str">
        <f t="shared" si="35"/>
        <v>-</v>
      </c>
      <c r="AD294" s="48" t="str">
        <f t="shared" si="36"/>
        <v>-</v>
      </c>
      <c r="AE294" s="48" t="str">
        <f t="shared" si="37"/>
        <v>-</v>
      </c>
      <c r="AF294" s="48" t="str">
        <f t="shared" si="38"/>
        <v>-</v>
      </c>
      <c r="AG294" s="48" t="str">
        <f t="shared" si="39"/>
        <v>-</v>
      </c>
    </row>
    <row r="295" spans="1:33" ht="15" thickBot="1" x14ac:dyDescent="0.35">
      <c r="A295" s="574"/>
      <c r="B295" s="346" t="s">
        <v>564</v>
      </c>
      <c r="C295" s="347">
        <v>151</v>
      </c>
      <c r="D295" s="335"/>
      <c r="E295" s="348">
        <v>0.8</v>
      </c>
      <c r="F295" s="349">
        <v>0.6</v>
      </c>
      <c r="G295" s="349">
        <v>0.3</v>
      </c>
      <c r="H295" s="348">
        <v>0.8</v>
      </c>
      <c r="I295" s="347" t="s">
        <v>578</v>
      </c>
      <c r="J295" s="350"/>
      <c r="K295" s="336"/>
      <c r="L295" s="336"/>
      <c r="M295" s="336"/>
      <c r="N295" s="336"/>
      <c r="O295" s="336"/>
      <c r="P295" s="336"/>
      <c r="Q295" s="336"/>
      <c r="R295" s="336"/>
      <c r="S295" s="336"/>
      <c r="T295" s="336"/>
      <c r="U295" s="351"/>
      <c r="V295" s="352" t="s">
        <v>379</v>
      </c>
      <c r="W295" s="323">
        <v>1</v>
      </c>
      <c r="X295" s="324">
        <v>4.03</v>
      </c>
      <c r="Z295" s="48">
        <f t="shared" si="32"/>
        <v>4.03</v>
      </c>
      <c r="AA295" s="48" t="str">
        <f t="shared" si="33"/>
        <v>-</v>
      </c>
      <c r="AB295" s="48" t="str">
        <f t="shared" si="34"/>
        <v>-</v>
      </c>
      <c r="AC295" s="48" t="str">
        <f t="shared" si="35"/>
        <v>-</v>
      </c>
      <c r="AD295" s="48" t="str">
        <f t="shared" si="36"/>
        <v>-</v>
      </c>
      <c r="AE295" s="48" t="str">
        <f t="shared" si="37"/>
        <v>-</v>
      </c>
      <c r="AF295" s="48" t="str">
        <f t="shared" si="38"/>
        <v>-</v>
      </c>
      <c r="AG295" s="48" t="str">
        <f t="shared" si="39"/>
        <v>-</v>
      </c>
    </row>
    <row r="296" spans="1:33" ht="15" thickBot="1" x14ac:dyDescent="0.35">
      <c r="A296" s="574"/>
      <c r="B296" s="346" t="s">
        <v>564</v>
      </c>
      <c r="C296" s="347">
        <v>159</v>
      </c>
      <c r="D296" s="335"/>
      <c r="E296" s="348">
        <v>0.8</v>
      </c>
      <c r="F296" s="349">
        <v>0.6</v>
      </c>
      <c r="G296" s="349">
        <v>0.3</v>
      </c>
      <c r="H296" s="348">
        <v>0.8</v>
      </c>
      <c r="I296" s="347" t="s">
        <v>578</v>
      </c>
      <c r="J296" s="350"/>
      <c r="K296" s="336"/>
      <c r="L296" s="336"/>
      <c r="M296" s="336"/>
      <c r="N296" s="336"/>
      <c r="O296" s="336"/>
      <c r="P296" s="336"/>
      <c r="Q296" s="336"/>
      <c r="R296" s="336"/>
      <c r="S296" s="336"/>
      <c r="T296" s="336"/>
      <c r="U296" s="351"/>
      <c r="V296" s="352" t="s">
        <v>379</v>
      </c>
      <c r="W296" s="323">
        <v>1</v>
      </c>
      <c r="X296" s="324">
        <v>4.07</v>
      </c>
      <c r="Z296" s="48">
        <f t="shared" si="32"/>
        <v>4.07</v>
      </c>
      <c r="AA296" s="48" t="str">
        <f t="shared" si="33"/>
        <v>-</v>
      </c>
      <c r="AB296" s="48" t="str">
        <f t="shared" si="34"/>
        <v>-</v>
      </c>
      <c r="AC296" s="48" t="str">
        <f t="shared" si="35"/>
        <v>-</v>
      </c>
      <c r="AD296" s="48" t="str">
        <f t="shared" si="36"/>
        <v>-</v>
      </c>
      <c r="AE296" s="48" t="str">
        <f t="shared" si="37"/>
        <v>-</v>
      </c>
      <c r="AF296" s="48" t="str">
        <f t="shared" si="38"/>
        <v>-</v>
      </c>
      <c r="AG296" s="48" t="str">
        <f t="shared" si="39"/>
        <v>-</v>
      </c>
    </row>
    <row r="297" spans="1:33" ht="15" thickBot="1" x14ac:dyDescent="0.35">
      <c r="A297" s="574"/>
      <c r="B297" s="346" t="s">
        <v>564</v>
      </c>
      <c r="C297" s="347">
        <v>167</v>
      </c>
      <c r="D297" s="335"/>
      <c r="E297" s="348">
        <v>0.8</v>
      </c>
      <c r="F297" s="349">
        <v>0.6</v>
      </c>
      <c r="G297" s="349">
        <v>0.3</v>
      </c>
      <c r="H297" s="348">
        <v>0.8</v>
      </c>
      <c r="I297" s="347" t="s">
        <v>578</v>
      </c>
      <c r="J297" s="350"/>
      <c r="K297" s="336"/>
      <c r="L297" s="336"/>
      <c r="M297" s="336"/>
      <c r="N297" s="336"/>
      <c r="O297" s="336"/>
      <c r="P297" s="336"/>
      <c r="Q297" s="336"/>
      <c r="R297" s="336"/>
      <c r="S297" s="336"/>
      <c r="T297" s="336"/>
      <c r="U297" s="351"/>
      <c r="V297" s="352" t="s">
        <v>379</v>
      </c>
      <c r="W297" s="323">
        <v>1</v>
      </c>
      <c r="X297" s="324">
        <v>4.09</v>
      </c>
      <c r="Z297" s="48">
        <f t="shared" si="32"/>
        <v>4.09</v>
      </c>
      <c r="AA297" s="48" t="str">
        <f t="shared" si="33"/>
        <v>-</v>
      </c>
      <c r="AB297" s="48" t="str">
        <f t="shared" si="34"/>
        <v>-</v>
      </c>
      <c r="AC297" s="48" t="str">
        <f t="shared" si="35"/>
        <v>-</v>
      </c>
      <c r="AD297" s="48" t="str">
        <f t="shared" si="36"/>
        <v>-</v>
      </c>
      <c r="AE297" s="48" t="str">
        <f t="shared" si="37"/>
        <v>-</v>
      </c>
      <c r="AF297" s="48" t="str">
        <f t="shared" si="38"/>
        <v>-</v>
      </c>
      <c r="AG297" s="48" t="str">
        <f t="shared" si="39"/>
        <v>-</v>
      </c>
    </row>
    <row r="298" spans="1:33" ht="15" thickBot="1" x14ac:dyDescent="0.35">
      <c r="A298" s="574"/>
      <c r="B298" s="346" t="s">
        <v>564</v>
      </c>
      <c r="C298" s="347">
        <v>175</v>
      </c>
      <c r="D298" s="335"/>
      <c r="E298" s="348">
        <v>0.8</v>
      </c>
      <c r="F298" s="349">
        <v>0.6</v>
      </c>
      <c r="G298" s="349">
        <v>0.3</v>
      </c>
      <c r="H298" s="348">
        <v>0.8</v>
      </c>
      <c r="I298" s="347" t="s">
        <v>578</v>
      </c>
      <c r="J298" s="350"/>
      <c r="K298" s="336"/>
      <c r="L298" s="336"/>
      <c r="M298" s="336"/>
      <c r="N298" s="336"/>
      <c r="O298" s="336"/>
      <c r="P298" s="336"/>
      <c r="Q298" s="336"/>
      <c r="R298" s="336"/>
      <c r="S298" s="336"/>
      <c r="T298" s="336"/>
      <c r="U298" s="351"/>
      <c r="V298" s="352" t="s">
        <v>379</v>
      </c>
      <c r="W298" s="323">
        <v>1</v>
      </c>
      <c r="X298" s="324">
        <v>4.1100000000000003</v>
      </c>
      <c r="Z298" s="48">
        <f t="shared" si="32"/>
        <v>4.1100000000000003</v>
      </c>
      <c r="AA298" s="48" t="str">
        <f t="shared" si="33"/>
        <v>-</v>
      </c>
      <c r="AB298" s="48" t="str">
        <f t="shared" si="34"/>
        <v>-</v>
      </c>
      <c r="AC298" s="48" t="str">
        <f t="shared" si="35"/>
        <v>-</v>
      </c>
      <c r="AD298" s="48" t="str">
        <f t="shared" si="36"/>
        <v>-</v>
      </c>
      <c r="AE298" s="48" t="str">
        <f t="shared" si="37"/>
        <v>-</v>
      </c>
      <c r="AF298" s="48" t="str">
        <f t="shared" si="38"/>
        <v>-</v>
      </c>
      <c r="AG298" s="48" t="str">
        <f t="shared" si="39"/>
        <v>-</v>
      </c>
    </row>
    <row r="299" spans="1:33" ht="15" thickBot="1" x14ac:dyDescent="0.35">
      <c r="A299" s="574"/>
      <c r="B299" s="346" t="s">
        <v>564</v>
      </c>
      <c r="C299" s="347">
        <v>183</v>
      </c>
      <c r="D299" s="335"/>
      <c r="E299" s="348">
        <v>0.8</v>
      </c>
      <c r="F299" s="349">
        <v>0.6</v>
      </c>
      <c r="G299" s="349">
        <v>0.3</v>
      </c>
      <c r="H299" s="348">
        <v>0.8</v>
      </c>
      <c r="I299" s="347" t="s">
        <v>578</v>
      </c>
      <c r="J299" s="350"/>
      <c r="K299" s="336"/>
      <c r="L299" s="336"/>
      <c r="M299" s="336"/>
      <c r="N299" s="336"/>
      <c r="O299" s="336"/>
      <c r="P299" s="336"/>
      <c r="Q299" s="336"/>
      <c r="R299" s="336"/>
      <c r="S299" s="336"/>
      <c r="T299" s="336"/>
      <c r="U299" s="351"/>
      <c r="V299" s="352" t="s">
        <v>379</v>
      </c>
      <c r="W299" s="323">
        <v>1</v>
      </c>
      <c r="X299" s="324">
        <v>0.5</v>
      </c>
      <c r="Z299" s="48">
        <f t="shared" si="32"/>
        <v>0.5</v>
      </c>
      <c r="AA299" s="48" t="str">
        <f t="shared" si="33"/>
        <v>-</v>
      </c>
      <c r="AB299" s="48" t="str">
        <f t="shared" si="34"/>
        <v>-</v>
      </c>
      <c r="AC299" s="48" t="str">
        <f t="shared" si="35"/>
        <v>-</v>
      </c>
      <c r="AD299" s="48" t="str">
        <f t="shared" si="36"/>
        <v>-</v>
      </c>
      <c r="AE299" s="48" t="str">
        <f t="shared" si="37"/>
        <v>-</v>
      </c>
      <c r="AF299" s="48" t="str">
        <f t="shared" si="38"/>
        <v>-</v>
      </c>
      <c r="AG299" s="48" t="str">
        <f t="shared" si="39"/>
        <v>-</v>
      </c>
    </row>
    <row r="300" spans="1:33" ht="15" thickBot="1" x14ac:dyDescent="0.35">
      <c r="A300" s="574"/>
      <c r="B300" s="346" t="s">
        <v>564</v>
      </c>
      <c r="C300" s="347">
        <v>191</v>
      </c>
      <c r="D300" s="335"/>
      <c r="E300" s="348">
        <v>0.8</v>
      </c>
      <c r="F300" s="349">
        <v>0.6</v>
      </c>
      <c r="G300" s="349">
        <v>0.3</v>
      </c>
      <c r="H300" s="348">
        <v>0.8</v>
      </c>
      <c r="I300" s="347" t="s">
        <v>578</v>
      </c>
      <c r="J300" s="388"/>
      <c r="K300" s="336"/>
      <c r="L300" s="336"/>
      <c r="M300" s="336"/>
      <c r="N300" s="336"/>
      <c r="O300" s="336"/>
      <c r="P300" s="336"/>
      <c r="Q300" s="336"/>
      <c r="R300" s="336"/>
      <c r="S300" s="336"/>
      <c r="T300" s="336"/>
      <c r="U300" s="351"/>
      <c r="V300" s="352" t="s">
        <v>379</v>
      </c>
      <c r="W300" s="323">
        <v>1</v>
      </c>
      <c r="X300" s="324">
        <v>0.69</v>
      </c>
      <c r="Z300" s="48">
        <f t="shared" si="32"/>
        <v>0.69</v>
      </c>
      <c r="AA300" s="48" t="str">
        <f t="shared" si="33"/>
        <v>-</v>
      </c>
      <c r="AB300" s="48" t="str">
        <f t="shared" si="34"/>
        <v>-</v>
      </c>
      <c r="AC300" s="48" t="str">
        <f t="shared" si="35"/>
        <v>-</v>
      </c>
      <c r="AD300" s="48" t="str">
        <f t="shared" si="36"/>
        <v>-</v>
      </c>
      <c r="AE300" s="48" t="str">
        <f t="shared" si="37"/>
        <v>-</v>
      </c>
      <c r="AF300" s="48" t="str">
        <f t="shared" si="38"/>
        <v>-</v>
      </c>
      <c r="AG300" s="48" t="str">
        <f t="shared" si="39"/>
        <v>-</v>
      </c>
    </row>
    <row r="301" spans="1:33" ht="15" thickBot="1" x14ac:dyDescent="0.35">
      <c r="A301" s="574"/>
      <c r="B301" s="346" t="s">
        <v>565</v>
      </c>
      <c r="C301" s="347">
        <v>108</v>
      </c>
      <c r="D301" s="335"/>
      <c r="E301" s="348">
        <v>0.8</v>
      </c>
      <c r="F301" s="349">
        <v>0.6</v>
      </c>
      <c r="G301" s="349">
        <v>0.3</v>
      </c>
      <c r="H301" s="348">
        <v>0.8</v>
      </c>
      <c r="I301" s="347" t="s">
        <v>578</v>
      </c>
      <c r="J301" s="350"/>
      <c r="K301" s="336"/>
      <c r="L301" s="336"/>
      <c r="M301" s="336"/>
      <c r="N301" s="336"/>
      <c r="O301" s="336"/>
      <c r="P301" s="336"/>
      <c r="Q301" s="336"/>
      <c r="R301" s="336"/>
      <c r="S301" s="336"/>
      <c r="T301" s="336"/>
      <c r="U301" s="351"/>
      <c r="V301" s="352" t="s">
        <v>379</v>
      </c>
      <c r="W301" s="323"/>
      <c r="X301" s="324">
        <v>6.05</v>
      </c>
      <c r="Z301" s="48">
        <f t="shared" si="32"/>
        <v>6.05</v>
      </c>
      <c r="AA301" s="48" t="str">
        <f t="shared" si="33"/>
        <v>-</v>
      </c>
      <c r="AB301" s="48" t="str">
        <f t="shared" si="34"/>
        <v>-</v>
      </c>
      <c r="AC301" s="48" t="str">
        <f t="shared" si="35"/>
        <v>-</v>
      </c>
      <c r="AD301" s="48" t="str">
        <f t="shared" si="36"/>
        <v>-</v>
      </c>
      <c r="AE301" s="48" t="str">
        <f t="shared" si="37"/>
        <v>-</v>
      </c>
      <c r="AF301" s="48" t="str">
        <f t="shared" si="38"/>
        <v>-</v>
      </c>
      <c r="AG301" s="48" t="str">
        <f t="shared" si="39"/>
        <v>-</v>
      </c>
    </row>
    <row r="302" spans="1:33" ht="15" thickBot="1" x14ac:dyDescent="0.35">
      <c r="A302" s="574"/>
      <c r="B302" s="346" t="s">
        <v>565</v>
      </c>
      <c r="C302" s="347" t="s">
        <v>377</v>
      </c>
      <c r="D302" s="335"/>
      <c r="E302" s="348">
        <v>0.8</v>
      </c>
      <c r="F302" s="349">
        <v>0.6</v>
      </c>
      <c r="G302" s="349">
        <v>0.3</v>
      </c>
      <c r="H302" s="348">
        <v>0.8</v>
      </c>
      <c r="I302" s="347" t="s">
        <v>578</v>
      </c>
      <c r="J302" s="350"/>
      <c r="K302" s="336"/>
      <c r="L302" s="336"/>
      <c r="M302" s="336"/>
      <c r="N302" s="336"/>
      <c r="O302" s="336"/>
      <c r="P302" s="336"/>
      <c r="Q302" s="336"/>
      <c r="R302" s="336"/>
      <c r="S302" s="336"/>
      <c r="T302" s="336"/>
      <c r="U302" s="351"/>
      <c r="V302" s="352" t="s">
        <v>379</v>
      </c>
      <c r="W302" s="323"/>
      <c r="X302" s="324">
        <v>5.14</v>
      </c>
      <c r="Z302" s="48">
        <f t="shared" si="32"/>
        <v>5.14</v>
      </c>
      <c r="AA302" s="48" t="str">
        <f t="shared" si="33"/>
        <v>-</v>
      </c>
      <c r="AB302" s="48" t="str">
        <f t="shared" si="34"/>
        <v>-</v>
      </c>
      <c r="AC302" s="48" t="str">
        <f t="shared" si="35"/>
        <v>-</v>
      </c>
      <c r="AD302" s="48" t="str">
        <f t="shared" si="36"/>
        <v>-</v>
      </c>
      <c r="AE302" s="48" t="str">
        <f t="shared" si="37"/>
        <v>-</v>
      </c>
      <c r="AF302" s="48" t="str">
        <f t="shared" si="38"/>
        <v>-</v>
      </c>
      <c r="AG302" s="48" t="str">
        <f t="shared" si="39"/>
        <v>-</v>
      </c>
    </row>
    <row r="303" spans="1:33" ht="15" thickBot="1" x14ac:dyDescent="0.35">
      <c r="A303" s="574"/>
      <c r="B303" s="346" t="s">
        <v>566</v>
      </c>
      <c r="C303" s="347">
        <v>204</v>
      </c>
      <c r="D303" s="335"/>
      <c r="E303" s="348">
        <v>0.8</v>
      </c>
      <c r="F303" s="349">
        <v>0.6</v>
      </c>
      <c r="G303" s="349">
        <v>0.3</v>
      </c>
      <c r="H303" s="348">
        <v>0.8</v>
      </c>
      <c r="I303" s="347" t="s">
        <v>578</v>
      </c>
      <c r="J303" s="350"/>
      <c r="K303" s="336"/>
      <c r="L303" s="336"/>
      <c r="M303" s="336"/>
      <c r="N303" s="336"/>
      <c r="O303" s="336"/>
      <c r="P303" s="336"/>
      <c r="Q303" s="336"/>
      <c r="R303" s="336"/>
      <c r="S303" s="336"/>
      <c r="T303" s="336"/>
      <c r="U303" s="351"/>
      <c r="V303" s="352" t="s">
        <v>379</v>
      </c>
      <c r="W303" s="323"/>
      <c r="X303" s="324">
        <v>5.12</v>
      </c>
      <c r="Z303" s="48">
        <f t="shared" si="32"/>
        <v>5.12</v>
      </c>
      <c r="AA303" s="48" t="str">
        <f t="shared" si="33"/>
        <v>-</v>
      </c>
      <c r="AB303" s="48" t="str">
        <f t="shared" si="34"/>
        <v>-</v>
      </c>
      <c r="AC303" s="48" t="str">
        <f t="shared" si="35"/>
        <v>-</v>
      </c>
      <c r="AD303" s="48" t="str">
        <f t="shared" si="36"/>
        <v>-</v>
      </c>
      <c r="AE303" s="48" t="str">
        <f t="shared" si="37"/>
        <v>-</v>
      </c>
      <c r="AF303" s="48" t="str">
        <f t="shared" si="38"/>
        <v>-</v>
      </c>
      <c r="AG303" s="48" t="str">
        <f t="shared" si="39"/>
        <v>-</v>
      </c>
    </row>
    <row r="304" spans="1:33" ht="15" thickBot="1" x14ac:dyDescent="0.35">
      <c r="A304" s="574"/>
      <c r="B304" s="346" t="s">
        <v>566</v>
      </c>
      <c r="C304" s="347">
        <v>210</v>
      </c>
      <c r="D304" s="335"/>
      <c r="E304" s="348">
        <v>0.8</v>
      </c>
      <c r="F304" s="349">
        <v>0.6</v>
      </c>
      <c r="G304" s="349">
        <v>0.3</v>
      </c>
      <c r="H304" s="348">
        <v>0.8</v>
      </c>
      <c r="I304" s="347" t="s">
        <v>578</v>
      </c>
      <c r="J304" s="350"/>
      <c r="K304" s="336"/>
      <c r="L304" s="336"/>
      <c r="M304" s="336"/>
      <c r="N304" s="336"/>
      <c r="O304" s="336"/>
      <c r="P304" s="336"/>
      <c r="Q304" s="336"/>
      <c r="R304" s="336"/>
      <c r="S304" s="336"/>
      <c r="T304" s="336"/>
      <c r="U304" s="351"/>
      <c r="V304" s="352" t="s">
        <v>379</v>
      </c>
      <c r="W304" s="323"/>
      <c r="X304" s="324">
        <v>5.25</v>
      </c>
      <c r="Z304" s="48">
        <f t="shared" si="32"/>
        <v>5.25</v>
      </c>
      <c r="AA304" s="48" t="str">
        <f t="shared" si="33"/>
        <v>-</v>
      </c>
      <c r="AB304" s="48" t="str">
        <f t="shared" si="34"/>
        <v>-</v>
      </c>
      <c r="AC304" s="48" t="str">
        <f t="shared" si="35"/>
        <v>-</v>
      </c>
      <c r="AD304" s="48" t="str">
        <f t="shared" si="36"/>
        <v>-</v>
      </c>
      <c r="AE304" s="48" t="str">
        <f t="shared" si="37"/>
        <v>-</v>
      </c>
      <c r="AF304" s="48" t="str">
        <f t="shared" si="38"/>
        <v>-</v>
      </c>
      <c r="AG304" s="48" t="str">
        <f t="shared" si="39"/>
        <v>-</v>
      </c>
    </row>
    <row r="305" spans="1:33" ht="15" thickBot="1" x14ac:dyDescent="0.35">
      <c r="A305" s="574"/>
      <c r="B305" s="346" t="s">
        <v>566</v>
      </c>
      <c r="C305" s="347">
        <v>218</v>
      </c>
      <c r="D305" s="335"/>
      <c r="E305" s="348">
        <v>0.8</v>
      </c>
      <c r="F305" s="349">
        <v>0.6</v>
      </c>
      <c r="G305" s="349">
        <v>0.3</v>
      </c>
      <c r="H305" s="348">
        <v>0.8</v>
      </c>
      <c r="I305" s="347" t="s">
        <v>578</v>
      </c>
      <c r="J305" s="350"/>
      <c r="K305" s="336"/>
      <c r="L305" s="336"/>
      <c r="M305" s="336"/>
      <c r="N305" s="336"/>
      <c r="O305" s="336"/>
      <c r="P305" s="336"/>
      <c r="Q305" s="336"/>
      <c r="R305" s="336"/>
      <c r="S305" s="336"/>
      <c r="T305" s="336"/>
      <c r="U305" s="351"/>
      <c r="V305" s="352" t="s">
        <v>379</v>
      </c>
      <c r="W305" s="323"/>
      <c r="X305" s="324">
        <v>5.14</v>
      </c>
      <c r="Z305" s="48">
        <f t="shared" si="32"/>
        <v>5.14</v>
      </c>
      <c r="AA305" s="48" t="str">
        <f t="shared" si="33"/>
        <v>-</v>
      </c>
      <c r="AB305" s="48" t="str">
        <f t="shared" si="34"/>
        <v>-</v>
      </c>
      <c r="AC305" s="48" t="str">
        <f t="shared" si="35"/>
        <v>-</v>
      </c>
      <c r="AD305" s="48" t="str">
        <f t="shared" si="36"/>
        <v>-</v>
      </c>
      <c r="AE305" s="48" t="str">
        <f t="shared" si="37"/>
        <v>-</v>
      </c>
      <c r="AF305" s="48" t="str">
        <f t="shared" si="38"/>
        <v>-</v>
      </c>
      <c r="AG305" s="48" t="str">
        <f t="shared" si="39"/>
        <v>-</v>
      </c>
    </row>
    <row r="306" spans="1:33" ht="15" thickBot="1" x14ac:dyDescent="0.35">
      <c r="A306" s="574"/>
      <c r="B306" s="346" t="s">
        <v>566</v>
      </c>
      <c r="C306" s="347">
        <v>226</v>
      </c>
      <c r="D306" s="335"/>
      <c r="E306" s="348">
        <v>0.8</v>
      </c>
      <c r="F306" s="349">
        <v>0.6</v>
      </c>
      <c r="G306" s="349">
        <v>0.3</v>
      </c>
      <c r="H306" s="348">
        <v>0.8</v>
      </c>
      <c r="I306" s="347" t="s">
        <v>578</v>
      </c>
      <c r="J306" s="350"/>
      <c r="K306" s="336"/>
      <c r="L306" s="336"/>
      <c r="M306" s="336"/>
      <c r="N306" s="336"/>
      <c r="O306" s="336"/>
      <c r="P306" s="336"/>
      <c r="Q306" s="336"/>
      <c r="R306" s="336"/>
      <c r="S306" s="336"/>
      <c r="T306" s="336"/>
      <c r="U306" s="351"/>
      <c r="V306" s="352" t="s">
        <v>379</v>
      </c>
      <c r="W306" s="323"/>
      <c r="X306" s="324">
        <v>5.03</v>
      </c>
      <c r="Z306" s="48">
        <f t="shared" si="32"/>
        <v>5.03</v>
      </c>
      <c r="AA306" s="48" t="str">
        <f t="shared" si="33"/>
        <v>-</v>
      </c>
      <c r="AB306" s="48" t="str">
        <f t="shared" si="34"/>
        <v>-</v>
      </c>
      <c r="AC306" s="48" t="str">
        <f t="shared" si="35"/>
        <v>-</v>
      </c>
      <c r="AD306" s="48" t="str">
        <f t="shared" si="36"/>
        <v>-</v>
      </c>
      <c r="AE306" s="48" t="str">
        <f t="shared" si="37"/>
        <v>-</v>
      </c>
      <c r="AF306" s="48" t="str">
        <f t="shared" si="38"/>
        <v>-</v>
      </c>
      <c r="AG306" s="48" t="str">
        <f t="shared" si="39"/>
        <v>-</v>
      </c>
    </row>
    <row r="307" spans="1:33" ht="15" thickBot="1" x14ac:dyDescent="0.35">
      <c r="A307" s="574"/>
      <c r="B307" s="346" t="s">
        <v>566</v>
      </c>
      <c r="C307" s="347">
        <v>234</v>
      </c>
      <c r="D307" s="335"/>
      <c r="E307" s="348">
        <v>0.8</v>
      </c>
      <c r="F307" s="349">
        <v>0.6</v>
      </c>
      <c r="G307" s="349">
        <v>0.3</v>
      </c>
      <c r="H307" s="348">
        <v>0.8</v>
      </c>
      <c r="I307" s="347" t="s">
        <v>578</v>
      </c>
      <c r="J307" s="388"/>
      <c r="K307" s="336"/>
      <c r="L307" s="336"/>
      <c r="M307" s="336"/>
      <c r="N307" s="336"/>
      <c r="O307" s="336"/>
      <c r="P307" s="336"/>
      <c r="Q307" s="336"/>
      <c r="R307" s="336"/>
      <c r="S307" s="336"/>
      <c r="T307" s="336"/>
      <c r="U307" s="351"/>
      <c r="V307" s="352" t="s">
        <v>379</v>
      </c>
      <c r="W307" s="323"/>
      <c r="X307" s="324">
        <v>5.0999999999999996</v>
      </c>
      <c r="Z307" s="48">
        <f t="shared" si="32"/>
        <v>5.0999999999999996</v>
      </c>
      <c r="AA307" s="48" t="str">
        <f t="shared" si="33"/>
        <v>-</v>
      </c>
      <c r="AB307" s="48" t="str">
        <f t="shared" si="34"/>
        <v>-</v>
      </c>
      <c r="AC307" s="48" t="str">
        <f t="shared" si="35"/>
        <v>-</v>
      </c>
      <c r="AD307" s="48" t="str">
        <f t="shared" si="36"/>
        <v>-</v>
      </c>
      <c r="AE307" s="48" t="str">
        <f t="shared" si="37"/>
        <v>-</v>
      </c>
      <c r="AF307" s="48" t="str">
        <f t="shared" si="38"/>
        <v>-</v>
      </c>
      <c r="AG307" s="48" t="str">
        <f t="shared" si="39"/>
        <v>-</v>
      </c>
    </row>
    <row r="308" spans="1:33" ht="15" thickBot="1" x14ac:dyDescent="0.35">
      <c r="A308" s="574"/>
      <c r="B308" s="346" t="s">
        <v>566</v>
      </c>
      <c r="C308" s="347">
        <v>242</v>
      </c>
      <c r="D308" s="335"/>
      <c r="E308" s="348">
        <v>0.8</v>
      </c>
      <c r="F308" s="349">
        <v>0.6</v>
      </c>
      <c r="G308" s="349">
        <v>0.3</v>
      </c>
      <c r="H308" s="348">
        <v>0.8</v>
      </c>
      <c r="I308" s="347" t="s">
        <v>578</v>
      </c>
      <c r="J308" s="350"/>
      <c r="K308" s="336"/>
      <c r="L308" s="336"/>
      <c r="M308" s="336"/>
      <c r="N308" s="336"/>
      <c r="O308" s="336"/>
      <c r="P308" s="336"/>
      <c r="Q308" s="336"/>
      <c r="R308" s="336"/>
      <c r="S308" s="336"/>
      <c r="T308" s="336"/>
      <c r="U308" s="351"/>
      <c r="V308" s="352" t="s">
        <v>379</v>
      </c>
      <c r="W308" s="323"/>
      <c r="X308" s="324">
        <v>4.99</v>
      </c>
      <c r="Z308" s="48">
        <f t="shared" si="32"/>
        <v>4.99</v>
      </c>
      <c r="AA308" s="48" t="str">
        <f t="shared" si="33"/>
        <v>-</v>
      </c>
      <c r="AB308" s="48" t="str">
        <f t="shared" si="34"/>
        <v>-</v>
      </c>
      <c r="AC308" s="48" t="str">
        <f t="shared" si="35"/>
        <v>-</v>
      </c>
      <c r="AD308" s="48" t="str">
        <f t="shared" si="36"/>
        <v>-</v>
      </c>
      <c r="AE308" s="48" t="str">
        <f t="shared" si="37"/>
        <v>-</v>
      </c>
      <c r="AF308" s="48" t="str">
        <f t="shared" si="38"/>
        <v>-</v>
      </c>
      <c r="AG308" s="48" t="str">
        <f t="shared" si="39"/>
        <v>-</v>
      </c>
    </row>
    <row r="309" spans="1:33" ht="15" thickBot="1" x14ac:dyDescent="0.35">
      <c r="A309" s="574"/>
      <c r="B309" s="346" t="s">
        <v>566</v>
      </c>
      <c r="C309" s="347">
        <v>250</v>
      </c>
      <c r="D309" s="335"/>
      <c r="E309" s="348">
        <v>0.8</v>
      </c>
      <c r="F309" s="349">
        <v>0.6</v>
      </c>
      <c r="G309" s="349">
        <v>0.3</v>
      </c>
      <c r="H309" s="348">
        <v>0.8</v>
      </c>
      <c r="I309" s="347" t="s">
        <v>578</v>
      </c>
      <c r="J309" s="350"/>
      <c r="K309" s="336"/>
      <c r="L309" s="336"/>
      <c r="M309" s="336"/>
      <c r="N309" s="336"/>
      <c r="O309" s="336"/>
      <c r="P309" s="336"/>
      <c r="Q309" s="336"/>
      <c r="R309" s="336"/>
      <c r="S309" s="336"/>
      <c r="T309" s="336"/>
      <c r="U309" s="351"/>
      <c r="V309" s="352" t="s">
        <v>379</v>
      </c>
      <c r="W309" s="323"/>
      <c r="X309" s="324">
        <v>5.04</v>
      </c>
      <c r="Z309" s="48">
        <f t="shared" si="32"/>
        <v>5.04</v>
      </c>
      <c r="AA309" s="48" t="str">
        <f t="shared" si="33"/>
        <v>-</v>
      </c>
      <c r="AB309" s="48" t="str">
        <f t="shared" si="34"/>
        <v>-</v>
      </c>
      <c r="AC309" s="48" t="str">
        <f t="shared" si="35"/>
        <v>-</v>
      </c>
      <c r="AD309" s="48" t="str">
        <f t="shared" si="36"/>
        <v>-</v>
      </c>
      <c r="AE309" s="48" t="str">
        <f t="shared" si="37"/>
        <v>-</v>
      </c>
      <c r="AF309" s="48" t="str">
        <f t="shared" si="38"/>
        <v>-</v>
      </c>
      <c r="AG309" s="48" t="str">
        <f t="shared" si="39"/>
        <v>-</v>
      </c>
    </row>
    <row r="310" spans="1:33" ht="15" thickBot="1" x14ac:dyDescent="0.35">
      <c r="A310" s="574"/>
      <c r="B310" s="346" t="s">
        <v>566</v>
      </c>
      <c r="C310" s="347">
        <v>258</v>
      </c>
      <c r="D310" s="335"/>
      <c r="E310" s="348">
        <v>0.8</v>
      </c>
      <c r="F310" s="349">
        <v>0.6</v>
      </c>
      <c r="G310" s="349">
        <v>0.3</v>
      </c>
      <c r="H310" s="348">
        <v>0.8</v>
      </c>
      <c r="I310" s="347" t="s">
        <v>578</v>
      </c>
      <c r="J310" s="350"/>
      <c r="K310" s="336"/>
      <c r="L310" s="336"/>
      <c r="M310" s="336"/>
      <c r="N310" s="336"/>
      <c r="O310" s="336"/>
      <c r="P310" s="336"/>
      <c r="Q310" s="336"/>
      <c r="R310" s="336"/>
      <c r="S310" s="336"/>
      <c r="T310" s="336"/>
      <c r="U310" s="351"/>
      <c r="V310" s="352" t="s">
        <v>379</v>
      </c>
      <c r="W310" s="323"/>
      <c r="X310" s="324">
        <v>5.4</v>
      </c>
      <c r="Z310" s="48">
        <f t="shared" si="32"/>
        <v>5.4</v>
      </c>
      <c r="AA310" s="48" t="str">
        <f t="shared" si="33"/>
        <v>-</v>
      </c>
      <c r="AB310" s="48" t="str">
        <f t="shared" si="34"/>
        <v>-</v>
      </c>
      <c r="AC310" s="48" t="str">
        <f t="shared" si="35"/>
        <v>-</v>
      </c>
      <c r="AD310" s="48" t="str">
        <f t="shared" si="36"/>
        <v>-</v>
      </c>
      <c r="AE310" s="48" t="str">
        <f t="shared" si="37"/>
        <v>-</v>
      </c>
      <c r="AF310" s="48" t="str">
        <f t="shared" si="38"/>
        <v>-</v>
      </c>
      <c r="AG310" s="48" t="str">
        <f t="shared" si="39"/>
        <v>-</v>
      </c>
    </row>
    <row r="311" spans="1:33" ht="15" thickBot="1" x14ac:dyDescent="0.35">
      <c r="A311" s="574"/>
      <c r="B311" s="346" t="s">
        <v>566</v>
      </c>
      <c r="C311" s="347">
        <v>266</v>
      </c>
      <c r="D311" s="335"/>
      <c r="E311" s="348">
        <v>0.8</v>
      </c>
      <c r="F311" s="349">
        <v>0.6</v>
      </c>
      <c r="G311" s="349">
        <v>0.3</v>
      </c>
      <c r="H311" s="348">
        <v>0.8</v>
      </c>
      <c r="I311" s="347" t="s">
        <v>578</v>
      </c>
      <c r="J311" s="350"/>
      <c r="K311" s="336"/>
      <c r="L311" s="336"/>
      <c r="M311" s="336"/>
      <c r="N311" s="336"/>
      <c r="O311" s="336"/>
      <c r="P311" s="336"/>
      <c r="Q311" s="336"/>
      <c r="R311" s="336"/>
      <c r="S311" s="336"/>
      <c r="T311" s="336"/>
      <c r="U311" s="351"/>
      <c r="V311" s="352" t="s">
        <v>379</v>
      </c>
      <c r="W311" s="323"/>
      <c r="X311" s="324">
        <v>5.68</v>
      </c>
      <c r="Z311" s="48">
        <f t="shared" si="32"/>
        <v>5.68</v>
      </c>
      <c r="AA311" s="48" t="str">
        <f t="shared" si="33"/>
        <v>-</v>
      </c>
      <c r="AB311" s="48" t="str">
        <f t="shared" si="34"/>
        <v>-</v>
      </c>
      <c r="AC311" s="48" t="str">
        <f t="shared" si="35"/>
        <v>-</v>
      </c>
      <c r="AD311" s="48" t="str">
        <f t="shared" si="36"/>
        <v>-</v>
      </c>
      <c r="AE311" s="48" t="str">
        <f t="shared" si="37"/>
        <v>-</v>
      </c>
      <c r="AF311" s="48" t="str">
        <f t="shared" si="38"/>
        <v>-</v>
      </c>
      <c r="AG311" s="48" t="str">
        <f t="shared" si="39"/>
        <v>-</v>
      </c>
    </row>
    <row r="312" spans="1:33" ht="15" thickBot="1" x14ac:dyDescent="0.35">
      <c r="A312" s="574"/>
      <c r="B312" s="346" t="s">
        <v>566</v>
      </c>
      <c r="C312" s="347">
        <v>274</v>
      </c>
      <c r="D312" s="335"/>
      <c r="E312" s="348">
        <v>0.8</v>
      </c>
      <c r="F312" s="349">
        <v>0.6</v>
      </c>
      <c r="G312" s="349">
        <v>0.3</v>
      </c>
      <c r="H312" s="348">
        <v>0.8</v>
      </c>
      <c r="I312" s="347" t="s">
        <v>578</v>
      </c>
      <c r="J312" s="350"/>
      <c r="K312" s="336"/>
      <c r="L312" s="336"/>
      <c r="M312" s="336"/>
      <c r="N312" s="336"/>
      <c r="O312" s="336"/>
      <c r="P312" s="336"/>
      <c r="Q312" s="336"/>
      <c r="R312" s="336"/>
      <c r="S312" s="336"/>
      <c r="T312" s="336"/>
      <c r="U312" s="351"/>
      <c r="V312" s="352" t="s">
        <v>379</v>
      </c>
      <c r="W312" s="323"/>
      <c r="X312" s="324">
        <v>5.72</v>
      </c>
      <c r="Z312" s="48">
        <f t="shared" si="32"/>
        <v>5.72</v>
      </c>
      <c r="AA312" s="48" t="str">
        <f t="shared" si="33"/>
        <v>-</v>
      </c>
      <c r="AB312" s="48" t="str">
        <f t="shared" si="34"/>
        <v>-</v>
      </c>
      <c r="AC312" s="48" t="str">
        <f t="shared" si="35"/>
        <v>-</v>
      </c>
      <c r="AD312" s="48" t="str">
        <f t="shared" si="36"/>
        <v>-</v>
      </c>
      <c r="AE312" s="48" t="str">
        <f t="shared" si="37"/>
        <v>-</v>
      </c>
      <c r="AF312" s="48" t="str">
        <f t="shared" si="38"/>
        <v>-</v>
      </c>
      <c r="AG312" s="48" t="str">
        <f t="shared" si="39"/>
        <v>-</v>
      </c>
    </row>
    <row r="313" spans="1:33" ht="15" thickBot="1" x14ac:dyDescent="0.35">
      <c r="A313" s="575"/>
      <c r="B313" s="367" t="s">
        <v>566</v>
      </c>
      <c r="C313" s="368">
        <v>282</v>
      </c>
      <c r="D313" s="335"/>
      <c r="E313" s="369">
        <v>0.8</v>
      </c>
      <c r="F313" s="370">
        <v>0.6</v>
      </c>
      <c r="G313" s="370">
        <v>0.3</v>
      </c>
      <c r="H313" s="369">
        <v>0.8</v>
      </c>
      <c r="I313" s="368" t="s">
        <v>578</v>
      </c>
      <c r="J313" s="371"/>
      <c r="K313" s="336"/>
      <c r="L313" s="336"/>
      <c r="M313" s="336"/>
      <c r="N313" s="336"/>
      <c r="O313" s="336"/>
      <c r="P313" s="336"/>
      <c r="Q313" s="336"/>
      <c r="R313" s="336"/>
      <c r="S313" s="336"/>
      <c r="T313" s="336"/>
      <c r="U313" s="351"/>
      <c r="V313" s="352" t="s">
        <v>379</v>
      </c>
      <c r="W313" s="329"/>
      <c r="X313" s="330">
        <v>5.72</v>
      </c>
      <c r="Z313" s="48">
        <f t="shared" si="32"/>
        <v>5.72</v>
      </c>
      <c r="AA313" s="48" t="str">
        <f t="shared" si="33"/>
        <v>-</v>
      </c>
      <c r="AB313" s="48" t="str">
        <f t="shared" si="34"/>
        <v>-</v>
      </c>
      <c r="AC313" s="48" t="str">
        <f t="shared" si="35"/>
        <v>-</v>
      </c>
      <c r="AD313" s="48" t="str">
        <f t="shared" si="36"/>
        <v>-</v>
      </c>
      <c r="AE313" s="48" t="str">
        <f t="shared" si="37"/>
        <v>-</v>
      </c>
      <c r="AF313" s="48" t="str">
        <f t="shared" si="38"/>
        <v>-</v>
      </c>
      <c r="AG313" s="48" t="str">
        <f t="shared" si="39"/>
        <v>-</v>
      </c>
    </row>
    <row r="314" spans="1:33" ht="15" thickBot="1" x14ac:dyDescent="0.35">
      <c r="A314" s="576" t="s">
        <v>567</v>
      </c>
      <c r="B314" s="337" t="s">
        <v>545</v>
      </c>
      <c r="C314" s="338">
        <v>289</v>
      </c>
      <c r="D314" s="339"/>
      <c r="E314" s="340">
        <v>0.8</v>
      </c>
      <c r="F314" s="341">
        <v>0.6</v>
      </c>
      <c r="G314" s="341">
        <v>0.3</v>
      </c>
      <c r="H314" s="340">
        <v>0.8</v>
      </c>
      <c r="I314" s="338" t="s">
        <v>578</v>
      </c>
      <c r="J314" s="389"/>
      <c r="K314" s="343"/>
      <c r="L314" s="343"/>
      <c r="M314" s="343"/>
      <c r="N314" s="343"/>
      <c r="O314" s="343"/>
      <c r="P314" s="343"/>
      <c r="Q314" s="343"/>
      <c r="R314" s="343"/>
      <c r="S314" s="343"/>
      <c r="T314" s="343"/>
      <c r="U314" s="344"/>
      <c r="V314" s="345" t="s">
        <v>379</v>
      </c>
      <c r="W314" s="321"/>
      <c r="X314" s="322">
        <v>7.87</v>
      </c>
      <c r="Z314" s="48">
        <f t="shared" si="32"/>
        <v>7.87</v>
      </c>
      <c r="AA314" s="48" t="str">
        <f t="shared" si="33"/>
        <v>-</v>
      </c>
      <c r="AB314" s="48" t="str">
        <f t="shared" si="34"/>
        <v>-</v>
      </c>
      <c r="AC314" s="48" t="str">
        <f t="shared" si="35"/>
        <v>-</v>
      </c>
      <c r="AD314" s="48" t="str">
        <f t="shared" si="36"/>
        <v>-</v>
      </c>
      <c r="AE314" s="48" t="str">
        <f t="shared" si="37"/>
        <v>-</v>
      </c>
      <c r="AF314" s="48" t="str">
        <f t="shared" si="38"/>
        <v>-</v>
      </c>
      <c r="AG314" s="48" t="str">
        <f t="shared" si="39"/>
        <v>-</v>
      </c>
    </row>
    <row r="315" spans="1:33" ht="15" thickBot="1" x14ac:dyDescent="0.35">
      <c r="A315" s="574"/>
      <c r="B315" s="346" t="s">
        <v>545</v>
      </c>
      <c r="C315" s="347">
        <v>297</v>
      </c>
      <c r="D315" s="335"/>
      <c r="E315" s="348">
        <v>0.8</v>
      </c>
      <c r="F315" s="349">
        <v>0.6</v>
      </c>
      <c r="G315" s="349">
        <v>0.3</v>
      </c>
      <c r="H315" s="348">
        <v>0.8</v>
      </c>
      <c r="I315" s="347" t="s">
        <v>578</v>
      </c>
      <c r="J315" s="350"/>
      <c r="K315" s="336"/>
      <c r="L315" s="336"/>
      <c r="M315" s="336"/>
      <c r="N315" s="336"/>
      <c r="O315" s="336"/>
      <c r="P315" s="336"/>
      <c r="Q315" s="336"/>
      <c r="R315" s="336"/>
      <c r="S315" s="336"/>
      <c r="T315" s="336"/>
      <c r="U315" s="351"/>
      <c r="V315" s="352" t="s">
        <v>379</v>
      </c>
      <c r="W315" s="323"/>
      <c r="X315" s="324">
        <v>7.65</v>
      </c>
      <c r="Z315" s="48">
        <f t="shared" si="32"/>
        <v>7.65</v>
      </c>
      <c r="AA315" s="48" t="str">
        <f t="shared" si="33"/>
        <v>-</v>
      </c>
      <c r="AB315" s="48" t="str">
        <f t="shared" si="34"/>
        <v>-</v>
      </c>
      <c r="AC315" s="48" t="str">
        <f t="shared" si="35"/>
        <v>-</v>
      </c>
      <c r="AD315" s="48" t="str">
        <f t="shared" si="36"/>
        <v>-</v>
      </c>
      <c r="AE315" s="48" t="str">
        <f t="shared" si="37"/>
        <v>-</v>
      </c>
      <c r="AF315" s="48" t="str">
        <f t="shared" si="38"/>
        <v>-</v>
      </c>
      <c r="AG315" s="48" t="str">
        <f t="shared" si="39"/>
        <v>-</v>
      </c>
    </row>
    <row r="316" spans="1:33" ht="15" thickBot="1" x14ac:dyDescent="0.35">
      <c r="A316" s="574"/>
      <c r="B316" s="346" t="s">
        <v>561</v>
      </c>
      <c r="C316" s="347">
        <v>160</v>
      </c>
      <c r="D316" s="335"/>
      <c r="E316" s="348">
        <v>0.8</v>
      </c>
      <c r="F316" s="349">
        <v>0.6</v>
      </c>
      <c r="G316" s="349">
        <v>0.3</v>
      </c>
      <c r="H316" s="348">
        <v>0.8</v>
      </c>
      <c r="I316" s="347" t="s">
        <v>578</v>
      </c>
      <c r="J316" s="388"/>
      <c r="K316" s="336"/>
      <c r="L316" s="336"/>
      <c r="M316" s="336"/>
      <c r="N316" s="336"/>
      <c r="O316" s="336"/>
      <c r="P316" s="336"/>
      <c r="Q316" s="336"/>
      <c r="R316" s="336"/>
      <c r="S316" s="336"/>
      <c r="T316" s="336"/>
      <c r="U316" s="351"/>
      <c r="V316" s="352" t="s">
        <v>379</v>
      </c>
      <c r="W316" s="323">
        <v>1</v>
      </c>
      <c r="X316" s="324">
        <v>1.29</v>
      </c>
      <c r="Z316" s="48">
        <f t="shared" si="32"/>
        <v>1.29</v>
      </c>
      <c r="AA316" s="48" t="str">
        <f t="shared" si="33"/>
        <v>-</v>
      </c>
      <c r="AB316" s="48" t="str">
        <f t="shared" si="34"/>
        <v>-</v>
      </c>
      <c r="AC316" s="48" t="str">
        <f t="shared" si="35"/>
        <v>-</v>
      </c>
      <c r="AD316" s="48" t="str">
        <f t="shared" si="36"/>
        <v>-</v>
      </c>
      <c r="AE316" s="48" t="str">
        <f t="shared" si="37"/>
        <v>-</v>
      </c>
      <c r="AF316" s="48" t="str">
        <f t="shared" si="38"/>
        <v>-</v>
      </c>
      <c r="AG316" s="48" t="str">
        <f t="shared" si="39"/>
        <v>-</v>
      </c>
    </row>
    <row r="317" spans="1:33" ht="15" thickBot="1" x14ac:dyDescent="0.35">
      <c r="A317" s="574"/>
      <c r="B317" s="346" t="s">
        <v>561</v>
      </c>
      <c r="C317" s="347">
        <v>115</v>
      </c>
      <c r="D317" s="335"/>
      <c r="E317" s="348">
        <v>0.8</v>
      </c>
      <c r="F317" s="349">
        <v>0.6</v>
      </c>
      <c r="G317" s="349">
        <v>0.3</v>
      </c>
      <c r="H317" s="348">
        <v>0.8</v>
      </c>
      <c r="I317" s="347" t="s">
        <v>578</v>
      </c>
      <c r="J317" s="350"/>
      <c r="K317" s="336"/>
      <c r="L317" s="336"/>
      <c r="M317" s="336"/>
      <c r="N317" s="336"/>
      <c r="O317" s="336"/>
      <c r="P317" s="336"/>
      <c r="Q317" s="336"/>
      <c r="R317" s="336"/>
      <c r="S317" s="336"/>
      <c r="T317" s="336"/>
      <c r="U317" s="351"/>
      <c r="V317" s="352" t="s">
        <v>379</v>
      </c>
      <c r="W317" s="323">
        <v>1</v>
      </c>
      <c r="X317" s="324">
        <v>0.72</v>
      </c>
      <c r="Z317" s="48">
        <f t="shared" si="32"/>
        <v>0.72</v>
      </c>
      <c r="AA317" s="48" t="str">
        <f t="shared" si="33"/>
        <v>-</v>
      </c>
      <c r="AB317" s="48" t="str">
        <f t="shared" si="34"/>
        <v>-</v>
      </c>
      <c r="AC317" s="48" t="str">
        <f t="shared" si="35"/>
        <v>-</v>
      </c>
      <c r="AD317" s="48" t="str">
        <f t="shared" si="36"/>
        <v>-</v>
      </c>
      <c r="AE317" s="48" t="str">
        <f t="shared" si="37"/>
        <v>-</v>
      </c>
      <c r="AF317" s="48" t="str">
        <f t="shared" si="38"/>
        <v>-</v>
      </c>
      <c r="AG317" s="48" t="str">
        <f t="shared" si="39"/>
        <v>-</v>
      </c>
    </row>
    <row r="318" spans="1:33" ht="15" thickBot="1" x14ac:dyDescent="0.35">
      <c r="A318" s="574"/>
      <c r="B318" s="346" t="s">
        <v>561</v>
      </c>
      <c r="C318" s="347">
        <v>121</v>
      </c>
      <c r="D318" s="335"/>
      <c r="E318" s="348">
        <v>0.8</v>
      </c>
      <c r="F318" s="349">
        <v>0.6</v>
      </c>
      <c r="G318" s="349">
        <v>0.3</v>
      </c>
      <c r="H318" s="348">
        <v>0.8</v>
      </c>
      <c r="I318" s="347" t="s">
        <v>578</v>
      </c>
      <c r="J318" s="350"/>
      <c r="K318" s="336"/>
      <c r="L318" s="336"/>
      <c r="M318" s="336"/>
      <c r="N318" s="336"/>
      <c r="O318" s="336"/>
      <c r="P318" s="336"/>
      <c r="Q318" s="336"/>
      <c r="R318" s="336"/>
      <c r="S318" s="336"/>
      <c r="T318" s="336"/>
      <c r="U318" s="351"/>
      <c r="V318" s="352" t="s">
        <v>379</v>
      </c>
      <c r="W318" s="323">
        <v>1</v>
      </c>
      <c r="X318" s="324">
        <v>0.72</v>
      </c>
      <c r="Z318" s="48">
        <f t="shared" si="32"/>
        <v>0.72</v>
      </c>
      <c r="AA318" s="48" t="str">
        <f t="shared" si="33"/>
        <v>-</v>
      </c>
      <c r="AB318" s="48" t="str">
        <f t="shared" si="34"/>
        <v>-</v>
      </c>
      <c r="AC318" s="48" t="str">
        <f t="shared" si="35"/>
        <v>-</v>
      </c>
      <c r="AD318" s="48" t="str">
        <f t="shared" si="36"/>
        <v>-</v>
      </c>
      <c r="AE318" s="48" t="str">
        <f t="shared" si="37"/>
        <v>-</v>
      </c>
      <c r="AF318" s="48" t="str">
        <f t="shared" si="38"/>
        <v>-</v>
      </c>
      <c r="AG318" s="48" t="str">
        <f t="shared" si="39"/>
        <v>-</v>
      </c>
    </row>
    <row r="319" spans="1:33" ht="15" thickBot="1" x14ac:dyDescent="0.35">
      <c r="A319" s="574"/>
      <c r="B319" s="346" t="s">
        <v>561</v>
      </c>
      <c r="C319" s="347">
        <v>127</v>
      </c>
      <c r="D319" s="335"/>
      <c r="E319" s="348">
        <v>0.8</v>
      </c>
      <c r="F319" s="349">
        <v>0.6</v>
      </c>
      <c r="G319" s="349">
        <v>0.3</v>
      </c>
      <c r="H319" s="348">
        <v>0.8</v>
      </c>
      <c r="I319" s="347" t="s">
        <v>578</v>
      </c>
      <c r="J319" s="350"/>
      <c r="K319" s="336"/>
      <c r="L319" s="336"/>
      <c r="M319" s="336"/>
      <c r="N319" s="336"/>
      <c r="O319" s="336"/>
      <c r="P319" s="336"/>
      <c r="Q319" s="336"/>
      <c r="R319" s="336"/>
      <c r="S319" s="336"/>
      <c r="T319" s="336"/>
      <c r="U319" s="351"/>
      <c r="V319" s="352" t="s">
        <v>379</v>
      </c>
      <c r="W319" s="323">
        <v>1</v>
      </c>
      <c r="X319" s="324">
        <v>0.72</v>
      </c>
      <c r="Z319" s="48">
        <f t="shared" si="32"/>
        <v>0.72</v>
      </c>
      <c r="AA319" s="48" t="str">
        <f t="shared" si="33"/>
        <v>-</v>
      </c>
      <c r="AB319" s="48" t="str">
        <f t="shared" si="34"/>
        <v>-</v>
      </c>
      <c r="AC319" s="48" t="str">
        <f t="shared" si="35"/>
        <v>-</v>
      </c>
      <c r="AD319" s="48" t="str">
        <f t="shared" si="36"/>
        <v>-</v>
      </c>
      <c r="AE319" s="48" t="str">
        <f t="shared" si="37"/>
        <v>-</v>
      </c>
      <c r="AF319" s="48" t="str">
        <f t="shared" si="38"/>
        <v>-</v>
      </c>
      <c r="AG319" s="48" t="str">
        <f t="shared" si="39"/>
        <v>-</v>
      </c>
    </row>
    <row r="320" spans="1:33" ht="15" thickBot="1" x14ac:dyDescent="0.35">
      <c r="A320" s="574"/>
      <c r="B320" s="346" t="s">
        <v>561</v>
      </c>
      <c r="C320" s="347">
        <v>133</v>
      </c>
      <c r="D320" s="335"/>
      <c r="E320" s="348">
        <v>0.8</v>
      </c>
      <c r="F320" s="349">
        <v>0.6</v>
      </c>
      <c r="G320" s="349">
        <v>0.3</v>
      </c>
      <c r="H320" s="348">
        <v>0.8</v>
      </c>
      <c r="I320" s="347" t="s">
        <v>578</v>
      </c>
      <c r="J320" s="350"/>
      <c r="K320" s="336"/>
      <c r="L320" s="336"/>
      <c r="M320" s="336"/>
      <c r="N320" s="336"/>
      <c r="O320" s="336"/>
      <c r="P320" s="336"/>
      <c r="Q320" s="336"/>
      <c r="R320" s="336"/>
      <c r="S320" s="336"/>
      <c r="T320" s="336"/>
      <c r="U320" s="351"/>
      <c r="V320" s="352" t="s">
        <v>379</v>
      </c>
      <c r="W320" s="323">
        <v>1</v>
      </c>
      <c r="X320" s="324">
        <v>0.72</v>
      </c>
      <c r="Z320" s="48">
        <f t="shared" si="32"/>
        <v>0.72</v>
      </c>
      <c r="AA320" s="48" t="str">
        <f t="shared" si="33"/>
        <v>-</v>
      </c>
      <c r="AB320" s="48" t="str">
        <f t="shared" si="34"/>
        <v>-</v>
      </c>
      <c r="AC320" s="48" t="str">
        <f t="shared" si="35"/>
        <v>-</v>
      </c>
      <c r="AD320" s="48" t="str">
        <f t="shared" si="36"/>
        <v>-</v>
      </c>
      <c r="AE320" s="48" t="str">
        <f t="shared" si="37"/>
        <v>-</v>
      </c>
      <c r="AF320" s="48" t="str">
        <f t="shared" si="38"/>
        <v>-</v>
      </c>
      <c r="AG320" s="48" t="str">
        <f t="shared" si="39"/>
        <v>-</v>
      </c>
    </row>
    <row r="321" spans="1:33" ht="15" thickBot="1" x14ac:dyDescent="0.35">
      <c r="A321" s="574"/>
      <c r="B321" s="346" t="s">
        <v>561</v>
      </c>
      <c r="C321" s="347">
        <v>139</v>
      </c>
      <c r="D321" s="335"/>
      <c r="E321" s="348">
        <v>0.8</v>
      </c>
      <c r="F321" s="349">
        <v>0.6</v>
      </c>
      <c r="G321" s="349">
        <v>0.3</v>
      </c>
      <c r="H321" s="348">
        <v>0.8</v>
      </c>
      <c r="I321" s="347" t="s">
        <v>578</v>
      </c>
      <c r="J321" s="350"/>
      <c r="K321" s="336"/>
      <c r="L321" s="336"/>
      <c r="M321" s="336"/>
      <c r="N321" s="336"/>
      <c r="O321" s="336"/>
      <c r="P321" s="336"/>
      <c r="Q321" s="336"/>
      <c r="R321" s="336"/>
      <c r="S321" s="336"/>
      <c r="T321" s="336"/>
      <c r="U321" s="351"/>
      <c r="V321" s="352" t="s">
        <v>379</v>
      </c>
      <c r="W321" s="323">
        <v>1</v>
      </c>
      <c r="X321" s="324">
        <v>0.72</v>
      </c>
      <c r="Z321" s="48">
        <f t="shared" si="32"/>
        <v>0.72</v>
      </c>
      <c r="AA321" s="48" t="str">
        <f t="shared" si="33"/>
        <v>-</v>
      </c>
      <c r="AB321" s="48" t="str">
        <f t="shared" si="34"/>
        <v>-</v>
      </c>
      <c r="AC321" s="48" t="str">
        <f t="shared" si="35"/>
        <v>-</v>
      </c>
      <c r="AD321" s="48" t="str">
        <f t="shared" si="36"/>
        <v>-</v>
      </c>
      <c r="AE321" s="48" t="str">
        <f t="shared" si="37"/>
        <v>-</v>
      </c>
      <c r="AF321" s="48" t="str">
        <f t="shared" si="38"/>
        <v>-</v>
      </c>
      <c r="AG321" s="48" t="str">
        <f t="shared" si="39"/>
        <v>-</v>
      </c>
    </row>
    <row r="322" spans="1:33" ht="15" thickBot="1" x14ac:dyDescent="0.35">
      <c r="A322" s="574"/>
      <c r="B322" s="346" t="s">
        <v>561</v>
      </c>
      <c r="C322" s="347">
        <v>145</v>
      </c>
      <c r="D322" s="335"/>
      <c r="E322" s="348">
        <v>0.8</v>
      </c>
      <c r="F322" s="349">
        <v>0.6</v>
      </c>
      <c r="G322" s="349">
        <v>0.3</v>
      </c>
      <c r="H322" s="348">
        <v>0.8</v>
      </c>
      <c r="I322" s="347" t="s">
        <v>578</v>
      </c>
      <c r="J322" s="350"/>
      <c r="K322" s="336"/>
      <c r="L322" s="336"/>
      <c r="M322" s="336"/>
      <c r="N322" s="336"/>
      <c r="O322" s="336"/>
      <c r="P322" s="336"/>
      <c r="Q322" s="336"/>
      <c r="R322" s="336"/>
      <c r="S322" s="336"/>
      <c r="T322" s="336"/>
      <c r="U322" s="351"/>
      <c r="V322" s="352" t="s">
        <v>379</v>
      </c>
      <c r="W322" s="323">
        <v>1</v>
      </c>
      <c r="X322" s="324">
        <v>2.99</v>
      </c>
      <c r="Z322" s="48">
        <f t="shared" si="32"/>
        <v>2.99</v>
      </c>
      <c r="AA322" s="48" t="str">
        <f t="shared" si="33"/>
        <v>-</v>
      </c>
      <c r="AB322" s="48" t="str">
        <f t="shared" si="34"/>
        <v>-</v>
      </c>
      <c r="AC322" s="48" t="str">
        <f t="shared" si="35"/>
        <v>-</v>
      </c>
      <c r="AD322" s="48" t="str">
        <f t="shared" si="36"/>
        <v>-</v>
      </c>
      <c r="AE322" s="48" t="str">
        <f t="shared" si="37"/>
        <v>-</v>
      </c>
      <c r="AF322" s="48" t="str">
        <f t="shared" si="38"/>
        <v>-</v>
      </c>
      <c r="AG322" s="48" t="str">
        <f t="shared" si="39"/>
        <v>-</v>
      </c>
    </row>
    <row r="323" spans="1:33" ht="15" thickBot="1" x14ac:dyDescent="0.35">
      <c r="A323" s="574"/>
      <c r="B323" s="346" t="s">
        <v>561</v>
      </c>
      <c r="C323" s="347">
        <v>157</v>
      </c>
      <c r="D323" s="335"/>
      <c r="E323" s="348">
        <v>0.8</v>
      </c>
      <c r="F323" s="349">
        <v>0.6</v>
      </c>
      <c r="G323" s="349">
        <v>0.3</v>
      </c>
      <c r="H323" s="348">
        <v>0.8</v>
      </c>
      <c r="I323" s="347" t="s">
        <v>578</v>
      </c>
      <c r="J323" s="350"/>
      <c r="K323" s="336"/>
      <c r="L323" s="336"/>
      <c r="M323" s="336"/>
      <c r="N323" s="336"/>
      <c r="O323" s="336"/>
      <c r="P323" s="336"/>
      <c r="Q323" s="336"/>
      <c r="R323" s="336"/>
      <c r="S323" s="336"/>
      <c r="T323" s="336"/>
      <c r="U323" s="351"/>
      <c r="V323" s="352" t="s">
        <v>379</v>
      </c>
      <c r="W323" s="323">
        <v>1</v>
      </c>
      <c r="X323" s="324">
        <v>3.07</v>
      </c>
      <c r="Z323" s="48">
        <f t="shared" si="32"/>
        <v>3.07</v>
      </c>
      <c r="AA323" s="48" t="str">
        <f t="shared" si="33"/>
        <v>-</v>
      </c>
      <c r="AB323" s="48" t="str">
        <f t="shared" si="34"/>
        <v>-</v>
      </c>
      <c r="AC323" s="48" t="str">
        <f t="shared" si="35"/>
        <v>-</v>
      </c>
      <c r="AD323" s="48" t="str">
        <f t="shared" si="36"/>
        <v>-</v>
      </c>
      <c r="AE323" s="48" t="str">
        <f t="shared" si="37"/>
        <v>-</v>
      </c>
      <c r="AF323" s="48" t="str">
        <f t="shared" si="38"/>
        <v>-</v>
      </c>
      <c r="AG323" s="48" t="str">
        <f t="shared" si="39"/>
        <v>-</v>
      </c>
    </row>
    <row r="324" spans="1:33" ht="15" thickBot="1" x14ac:dyDescent="0.35">
      <c r="A324" s="574"/>
      <c r="B324" s="346" t="s">
        <v>561</v>
      </c>
      <c r="C324" s="347">
        <v>163</v>
      </c>
      <c r="D324" s="335"/>
      <c r="E324" s="348">
        <v>0.8</v>
      </c>
      <c r="F324" s="349">
        <v>0.6</v>
      </c>
      <c r="G324" s="349">
        <v>0.3</v>
      </c>
      <c r="H324" s="348">
        <v>0.8</v>
      </c>
      <c r="I324" s="347" t="s">
        <v>578</v>
      </c>
      <c r="J324" s="388"/>
      <c r="K324" s="336"/>
      <c r="L324" s="336"/>
      <c r="M324" s="336"/>
      <c r="N324" s="336"/>
      <c r="O324" s="336"/>
      <c r="P324" s="336"/>
      <c r="Q324" s="336"/>
      <c r="R324" s="336"/>
      <c r="S324" s="336"/>
      <c r="T324" s="336"/>
      <c r="U324" s="351"/>
      <c r="V324" s="352" t="s">
        <v>379</v>
      </c>
      <c r="W324" s="323">
        <v>1</v>
      </c>
      <c r="X324" s="324">
        <v>3.16</v>
      </c>
      <c r="Z324" s="48">
        <f t="shared" ref="Z324:Z387" si="40">IF(AND(0&lt;=$H324,$H324&lt;=1,$V324="U")=TRUE,$X324,"-")</f>
        <v>3.16</v>
      </c>
      <c r="AA324" s="48" t="str">
        <f t="shared" ref="AA324:AA387" si="41">IF(AND(0&lt;=$H324,$H324&lt;=1,$V324="r")=TRUE,$X324,"-")</f>
        <v>-</v>
      </c>
      <c r="AB324" s="48" t="str">
        <f t="shared" ref="AB324:AB387" si="42">IF(AND(0&lt;=$H324,$H324&lt;=1,$V324="RI")=TRUE,$X324,"-")</f>
        <v>-</v>
      </c>
      <c r="AC324" s="48" t="str">
        <f t="shared" ref="AC324:AC387" si="43">IF(AND(0&lt;=$H324,$H324&lt;=1,$V324="RE")=TRUE,$X324,"-")</f>
        <v>-</v>
      </c>
      <c r="AD324" s="48" t="str">
        <f t="shared" ref="AD324:AD387" si="44">IF(AND(1.01&lt;=$H324,$H324&lt;=1.25,$V324="U")=TRUE,$X324,"-")</f>
        <v>-</v>
      </c>
      <c r="AE324" s="48" t="str">
        <f t="shared" ref="AE324:AE387" si="45">IF(AND(1.01&lt;=$H324,$H324&lt;=1.25,$V324="R")=TRUE,$X324,"-")</f>
        <v>-</v>
      </c>
      <c r="AF324" s="48" t="str">
        <f t="shared" ref="AF324:AF387" si="46">IF(AND(1.01&lt;=$H324,$H324&lt;=1.25,$V324="RI")=TRUE,$X324,"-")</f>
        <v>-</v>
      </c>
      <c r="AG324" s="48" t="str">
        <f t="shared" ref="AG324:AG387" si="47">IF(AND(1.01&lt;=$H324,$H324&lt;=1.25,$V324="RE")=TRUE,$X324,"-")</f>
        <v>-</v>
      </c>
    </row>
    <row r="325" spans="1:33" ht="15" thickBot="1" x14ac:dyDescent="0.35">
      <c r="A325" s="574"/>
      <c r="B325" s="346" t="s">
        <v>561</v>
      </c>
      <c r="C325" s="347">
        <v>169</v>
      </c>
      <c r="D325" s="335"/>
      <c r="E325" s="348">
        <v>0.8</v>
      </c>
      <c r="F325" s="349">
        <v>0.6</v>
      </c>
      <c r="G325" s="349">
        <v>0.3</v>
      </c>
      <c r="H325" s="348">
        <v>0.8</v>
      </c>
      <c r="I325" s="346"/>
      <c r="J325" s="350" t="s">
        <v>578</v>
      </c>
      <c r="K325" s="336"/>
      <c r="L325" s="336"/>
      <c r="M325" s="336"/>
      <c r="N325" s="336"/>
      <c r="O325" s="336"/>
      <c r="P325" s="336"/>
      <c r="Q325" s="336"/>
      <c r="R325" s="336"/>
      <c r="S325" s="336"/>
      <c r="T325" s="336"/>
      <c r="U325" s="351"/>
      <c r="V325" s="352" t="s">
        <v>122</v>
      </c>
      <c r="W325" s="323">
        <v>1</v>
      </c>
      <c r="X325" s="324">
        <v>3.26</v>
      </c>
      <c r="Z325" s="48" t="str">
        <f t="shared" si="40"/>
        <v>-</v>
      </c>
      <c r="AA325" s="48">
        <f t="shared" si="41"/>
        <v>3.26</v>
      </c>
      <c r="AB325" s="48" t="str">
        <f t="shared" si="42"/>
        <v>-</v>
      </c>
      <c r="AC325" s="48" t="str">
        <f t="shared" si="43"/>
        <v>-</v>
      </c>
      <c r="AD325" s="48" t="str">
        <f t="shared" si="44"/>
        <v>-</v>
      </c>
      <c r="AE325" s="48" t="str">
        <f t="shared" si="45"/>
        <v>-</v>
      </c>
      <c r="AF325" s="48" t="str">
        <f t="shared" si="46"/>
        <v>-</v>
      </c>
      <c r="AG325" s="48" t="str">
        <f t="shared" si="47"/>
        <v>-</v>
      </c>
    </row>
    <row r="326" spans="1:33" ht="15" thickBot="1" x14ac:dyDescent="0.35">
      <c r="A326" s="574"/>
      <c r="B326" s="346" t="s">
        <v>561</v>
      </c>
      <c r="C326" s="347">
        <v>175</v>
      </c>
      <c r="D326" s="335"/>
      <c r="E326" s="348">
        <v>0.8</v>
      </c>
      <c r="F326" s="349">
        <v>0.6</v>
      </c>
      <c r="G326" s="349">
        <v>0.3</v>
      </c>
      <c r="H326" s="348">
        <v>0.8</v>
      </c>
      <c r="I326" s="347" t="s">
        <v>578</v>
      </c>
      <c r="J326" s="350"/>
      <c r="K326" s="336"/>
      <c r="L326" s="336"/>
      <c r="M326" s="336"/>
      <c r="N326" s="336"/>
      <c r="O326" s="336"/>
      <c r="P326" s="336"/>
      <c r="Q326" s="336"/>
      <c r="R326" s="336"/>
      <c r="S326" s="336"/>
      <c r="T326" s="336"/>
      <c r="U326" s="351"/>
      <c r="V326" s="352" t="s">
        <v>379</v>
      </c>
      <c r="W326" s="323">
        <v>1</v>
      </c>
      <c r="X326" s="324">
        <v>3.33</v>
      </c>
      <c r="Z326" s="48">
        <f t="shared" si="40"/>
        <v>3.33</v>
      </c>
      <c r="AA326" s="48" t="str">
        <f t="shared" si="41"/>
        <v>-</v>
      </c>
      <c r="AB326" s="48" t="str">
        <f t="shared" si="42"/>
        <v>-</v>
      </c>
      <c r="AC326" s="48" t="str">
        <f t="shared" si="43"/>
        <v>-</v>
      </c>
      <c r="AD326" s="48" t="str">
        <f t="shared" si="44"/>
        <v>-</v>
      </c>
      <c r="AE326" s="48" t="str">
        <f t="shared" si="45"/>
        <v>-</v>
      </c>
      <c r="AF326" s="48" t="str">
        <f t="shared" si="46"/>
        <v>-</v>
      </c>
      <c r="AG326" s="48" t="str">
        <f t="shared" si="47"/>
        <v>-</v>
      </c>
    </row>
    <row r="327" spans="1:33" ht="15" thickBot="1" x14ac:dyDescent="0.35">
      <c r="A327" s="574"/>
      <c r="B327" s="346" t="s">
        <v>561</v>
      </c>
      <c r="C327" s="347">
        <v>181</v>
      </c>
      <c r="D327" s="335"/>
      <c r="E327" s="348">
        <v>0.8</v>
      </c>
      <c r="F327" s="349">
        <v>0.6</v>
      </c>
      <c r="G327" s="349">
        <v>0.3</v>
      </c>
      <c r="H327" s="348">
        <v>0.8</v>
      </c>
      <c r="I327" s="347" t="s">
        <v>578</v>
      </c>
      <c r="J327" s="350"/>
      <c r="K327" s="336"/>
      <c r="L327" s="336"/>
      <c r="M327" s="336"/>
      <c r="N327" s="336"/>
      <c r="O327" s="336"/>
      <c r="P327" s="336"/>
      <c r="Q327" s="336"/>
      <c r="R327" s="336"/>
      <c r="S327" s="336"/>
      <c r="T327" s="336"/>
      <c r="U327" s="351"/>
      <c r="V327" s="352" t="s">
        <v>379</v>
      </c>
      <c r="W327" s="323">
        <v>1</v>
      </c>
      <c r="X327" s="324">
        <v>3.36</v>
      </c>
      <c r="Z327" s="48">
        <f t="shared" si="40"/>
        <v>3.36</v>
      </c>
      <c r="AA327" s="48" t="str">
        <f t="shared" si="41"/>
        <v>-</v>
      </c>
      <c r="AB327" s="48" t="str">
        <f t="shared" si="42"/>
        <v>-</v>
      </c>
      <c r="AC327" s="48" t="str">
        <f t="shared" si="43"/>
        <v>-</v>
      </c>
      <c r="AD327" s="48" t="str">
        <f t="shared" si="44"/>
        <v>-</v>
      </c>
      <c r="AE327" s="48" t="str">
        <f t="shared" si="45"/>
        <v>-</v>
      </c>
      <c r="AF327" s="48" t="str">
        <f t="shared" si="46"/>
        <v>-</v>
      </c>
      <c r="AG327" s="48" t="str">
        <f t="shared" si="47"/>
        <v>-</v>
      </c>
    </row>
    <row r="328" spans="1:33" ht="15" thickBot="1" x14ac:dyDescent="0.35">
      <c r="A328" s="574"/>
      <c r="B328" s="346" t="s">
        <v>561</v>
      </c>
      <c r="C328" s="347">
        <v>187</v>
      </c>
      <c r="D328" s="335"/>
      <c r="E328" s="348">
        <v>0.8</v>
      </c>
      <c r="F328" s="349">
        <v>0.6</v>
      </c>
      <c r="G328" s="349">
        <v>0.3</v>
      </c>
      <c r="H328" s="348">
        <v>0.8</v>
      </c>
      <c r="I328" s="346"/>
      <c r="J328" s="350" t="s">
        <v>578</v>
      </c>
      <c r="K328" s="336"/>
      <c r="L328" s="336"/>
      <c r="M328" s="336"/>
      <c r="N328" s="336"/>
      <c r="O328" s="336"/>
      <c r="P328" s="336"/>
      <c r="Q328" s="336"/>
      <c r="R328" s="336"/>
      <c r="S328" s="336"/>
      <c r="T328" s="336"/>
      <c r="U328" s="351"/>
      <c r="V328" s="352" t="s">
        <v>122</v>
      </c>
      <c r="W328" s="323">
        <v>1</v>
      </c>
      <c r="X328" s="324">
        <v>3.43</v>
      </c>
      <c r="Z328" s="48" t="str">
        <f t="shared" si="40"/>
        <v>-</v>
      </c>
      <c r="AA328" s="48">
        <f t="shared" si="41"/>
        <v>3.43</v>
      </c>
      <c r="AB328" s="48" t="str">
        <f t="shared" si="42"/>
        <v>-</v>
      </c>
      <c r="AC328" s="48" t="str">
        <f t="shared" si="43"/>
        <v>-</v>
      </c>
      <c r="AD328" s="48" t="str">
        <f t="shared" si="44"/>
        <v>-</v>
      </c>
      <c r="AE328" s="48" t="str">
        <f t="shared" si="45"/>
        <v>-</v>
      </c>
      <c r="AF328" s="48" t="str">
        <f t="shared" si="46"/>
        <v>-</v>
      </c>
      <c r="AG328" s="48" t="str">
        <f t="shared" si="47"/>
        <v>-</v>
      </c>
    </row>
    <row r="329" spans="1:33" ht="15" thickBot="1" x14ac:dyDescent="0.35">
      <c r="A329" s="574"/>
      <c r="B329" s="346" t="s">
        <v>561</v>
      </c>
      <c r="C329" s="347">
        <v>189</v>
      </c>
      <c r="D329" s="335"/>
      <c r="E329" s="348">
        <v>0.8</v>
      </c>
      <c r="F329" s="349">
        <v>0.6</v>
      </c>
      <c r="G329" s="349">
        <v>0.3</v>
      </c>
      <c r="H329" s="348">
        <v>0.8</v>
      </c>
      <c r="I329" s="346"/>
      <c r="J329" s="350" t="s">
        <v>578</v>
      </c>
      <c r="K329" s="336"/>
      <c r="L329" s="336"/>
      <c r="M329" s="336"/>
      <c r="N329" s="336"/>
      <c r="O329" s="336"/>
      <c r="P329" s="336"/>
      <c r="Q329" s="336"/>
      <c r="R329" s="336"/>
      <c r="S329" s="336"/>
      <c r="T329" s="336"/>
      <c r="U329" s="351"/>
      <c r="V329" s="352" t="s">
        <v>122</v>
      </c>
      <c r="W329" s="323">
        <v>1</v>
      </c>
      <c r="X329" s="324">
        <v>3.49</v>
      </c>
      <c r="Z329" s="48" t="str">
        <f t="shared" si="40"/>
        <v>-</v>
      </c>
      <c r="AA329" s="48">
        <f t="shared" si="41"/>
        <v>3.49</v>
      </c>
      <c r="AB329" s="48" t="str">
        <f t="shared" si="42"/>
        <v>-</v>
      </c>
      <c r="AC329" s="48" t="str">
        <f t="shared" si="43"/>
        <v>-</v>
      </c>
      <c r="AD329" s="48" t="str">
        <f t="shared" si="44"/>
        <v>-</v>
      </c>
      <c r="AE329" s="48" t="str">
        <f t="shared" si="45"/>
        <v>-</v>
      </c>
      <c r="AF329" s="48" t="str">
        <f t="shared" si="46"/>
        <v>-</v>
      </c>
      <c r="AG329" s="48" t="str">
        <f t="shared" si="47"/>
        <v>-</v>
      </c>
    </row>
    <row r="330" spans="1:33" ht="15" thickBot="1" x14ac:dyDescent="0.35">
      <c r="A330" s="574"/>
      <c r="B330" s="346" t="s">
        <v>561</v>
      </c>
      <c r="C330" s="347">
        <v>193</v>
      </c>
      <c r="D330" s="335"/>
      <c r="E330" s="348">
        <v>0.8</v>
      </c>
      <c r="F330" s="349">
        <v>0.6</v>
      </c>
      <c r="G330" s="349">
        <v>0.3</v>
      </c>
      <c r="H330" s="348">
        <v>0.8</v>
      </c>
      <c r="I330" s="346"/>
      <c r="J330" s="350" t="s">
        <v>578</v>
      </c>
      <c r="K330" s="336"/>
      <c r="L330" s="336"/>
      <c r="M330" s="336"/>
      <c r="N330" s="336"/>
      <c r="O330" s="336"/>
      <c r="P330" s="336"/>
      <c r="Q330" s="336"/>
      <c r="R330" s="336"/>
      <c r="S330" s="336"/>
      <c r="T330" s="336"/>
      <c r="U330" s="351"/>
      <c r="V330" s="352" t="s">
        <v>122</v>
      </c>
      <c r="W330" s="323">
        <v>1</v>
      </c>
      <c r="X330" s="324">
        <v>3.55</v>
      </c>
      <c r="Z330" s="48" t="str">
        <f t="shared" si="40"/>
        <v>-</v>
      </c>
      <c r="AA330" s="48">
        <f t="shared" si="41"/>
        <v>3.55</v>
      </c>
      <c r="AB330" s="48" t="str">
        <f t="shared" si="42"/>
        <v>-</v>
      </c>
      <c r="AC330" s="48" t="str">
        <f t="shared" si="43"/>
        <v>-</v>
      </c>
      <c r="AD330" s="48" t="str">
        <f t="shared" si="44"/>
        <v>-</v>
      </c>
      <c r="AE330" s="48" t="str">
        <f t="shared" si="45"/>
        <v>-</v>
      </c>
      <c r="AF330" s="48" t="str">
        <f t="shared" si="46"/>
        <v>-</v>
      </c>
      <c r="AG330" s="48" t="str">
        <f t="shared" si="47"/>
        <v>-</v>
      </c>
    </row>
    <row r="331" spans="1:33" ht="15" thickBot="1" x14ac:dyDescent="0.35">
      <c r="A331" s="574"/>
      <c r="B331" s="346" t="s">
        <v>565</v>
      </c>
      <c r="C331" s="347">
        <v>170</v>
      </c>
      <c r="D331" s="335"/>
      <c r="E331" s="348">
        <v>0.8</v>
      </c>
      <c r="F331" s="349">
        <v>0.6</v>
      </c>
      <c r="G331" s="349">
        <v>0.3</v>
      </c>
      <c r="H331" s="348">
        <v>0.8</v>
      </c>
      <c r="I331" s="347" t="s">
        <v>578</v>
      </c>
      <c r="J331" s="388"/>
      <c r="K331" s="336"/>
      <c r="L331" s="336"/>
      <c r="M331" s="336"/>
      <c r="N331" s="336"/>
      <c r="O331" s="336"/>
      <c r="P331" s="336"/>
      <c r="Q331" s="336"/>
      <c r="R331" s="336"/>
      <c r="S331" s="336"/>
      <c r="T331" s="336"/>
      <c r="U331" s="351"/>
      <c r="V331" s="352" t="s">
        <v>379</v>
      </c>
      <c r="W331" s="323">
        <v>1</v>
      </c>
      <c r="X331" s="324">
        <v>1.82</v>
      </c>
      <c r="Z331" s="48">
        <f t="shared" si="40"/>
        <v>1.82</v>
      </c>
      <c r="AA331" s="48" t="str">
        <f t="shared" si="41"/>
        <v>-</v>
      </c>
      <c r="AB331" s="48" t="str">
        <f t="shared" si="42"/>
        <v>-</v>
      </c>
      <c r="AC331" s="48" t="str">
        <f t="shared" si="43"/>
        <v>-</v>
      </c>
      <c r="AD331" s="48" t="str">
        <f t="shared" si="44"/>
        <v>-</v>
      </c>
      <c r="AE331" s="48" t="str">
        <f t="shared" si="45"/>
        <v>-</v>
      </c>
      <c r="AF331" s="48" t="str">
        <f t="shared" si="46"/>
        <v>-</v>
      </c>
      <c r="AG331" s="48" t="str">
        <f t="shared" si="47"/>
        <v>-</v>
      </c>
    </row>
    <row r="332" spans="1:33" ht="15" thickBot="1" x14ac:dyDescent="0.35">
      <c r="A332" s="574"/>
      <c r="B332" s="346" t="s">
        <v>565</v>
      </c>
      <c r="C332" s="347">
        <v>120</v>
      </c>
      <c r="D332" s="335"/>
      <c r="E332" s="348">
        <v>0.8</v>
      </c>
      <c r="F332" s="349">
        <v>0.6</v>
      </c>
      <c r="G332" s="349">
        <v>0.3</v>
      </c>
      <c r="H332" s="348">
        <v>0.8</v>
      </c>
      <c r="I332" s="347" t="s">
        <v>578</v>
      </c>
      <c r="J332" s="388"/>
      <c r="K332" s="336"/>
      <c r="L332" s="336"/>
      <c r="M332" s="336"/>
      <c r="N332" s="336"/>
      <c r="O332" s="336"/>
      <c r="P332" s="336"/>
      <c r="Q332" s="336"/>
      <c r="R332" s="336"/>
      <c r="S332" s="336"/>
      <c r="T332" s="336"/>
      <c r="U332" s="351"/>
      <c r="V332" s="352" t="s">
        <v>379</v>
      </c>
      <c r="W332" s="323">
        <v>1</v>
      </c>
      <c r="X332" s="324">
        <v>1.02</v>
      </c>
      <c r="Z332" s="48">
        <f t="shared" si="40"/>
        <v>1.02</v>
      </c>
      <c r="AA332" s="48" t="str">
        <f t="shared" si="41"/>
        <v>-</v>
      </c>
      <c r="AB332" s="48" t="str">
        <f t="shared" si="42"/>
        <v>-</v>
      </c>
      <c r="AC332" s="48" t="str">
        <f t="shared" si="43"/>
        <v>-</v>
      </c>
      <c r="AD332" s="48" t="str">
        <f t="shared" si="44"/>
        <v>-</v>
      </c>
      <c r="AE332" s="48" t="str">
        <f t="shared" si="45"/>
        <v>-</v>
      </c>
      <c r="AF332" s="48" t="str">
        <f t="shared" si="46"/>
        <v>-</v>
      </c>
      <c r="AG332" s="48" t="str">
        <f t="shared" si="47"/>
        <v>-</v>
      </c>
    </row>
    <row r="333" spans="1:33" ht="15" thickBot="1" x14ac:dyDescent="0.35">
      <c r="A333" s="574"/>
      <c r="B333" s="346" t="s">
        <v>565</v>
      </c>
      <c r="C333" s="347">
        <v>126</v>
      </c>
      <c r="D333" s="335"/>
      <c r="E333" s="348">
        <v>0.8</v>
      </c>
      <c r="F333" s="349">
        <v>0.6</v>
      </c>
      <c r="G333" s="349">
        <v>0.3</v>
      </c>
      <c r="H333" s="348">
        <v>0.8</v>
      </c>
      <c r="I333" s="347" t="s">
        <v>578</v>
      </c>
      <c r="J333" s="388"/>
      <c r="K333" s="336"/>
      <c r="L333" s="336"/>
      <c r="M333" s="336"/>
      <c r="N333" s="336"/>
      <c r="O333" s="336"/>
      <c r="P333" s="336"/>
      <c r="Q333" s="336"/>
      <c r="R333" s="336"/>
      <c r="S333" s="336"/>
      <c r="T333" s="336"/>
      <c r="U333" s="351"/>
      <c r="V333" s="352" t="s">
        <v>379</v>
      </c>
      <c r="W333" s="323">
        <v>1</v>
      </c>
      <c r="X333" s="324">
        <v>0.96</v>
      </c>
      <c r="Z333" s="48">
        <f t="shared" si="40"/>
        <v>0.96</v>
      </c>
      <c r="AA333" s="48" t="str">
        <f t="shared" si="41"/>
        <v>-</v>
      </c>
      <c r="AB333" s="48" t="str">
        <f t="shared" si="42"/>
        <v>-</v>
      </c>
      <c r="AC333" s="48" t="str">
        <f t="shared" si="43"/>
        <v>-</v>
      </c>
      <c r="AD333" s="48" t="str">
        <f t="shared" si="44"/>
        <v>-</v>
      </c>
      <c r="AE333" s="48" t="str">
        <f t="shared" si="45"/>
        <v>-</v>
      </c>
      <c r="AF333" s="48" t="str">
        <f t="shared" si="46"/>
        <v>-</v>
      </c>
      <c r="AG333" s="48" t="str">
        <f t="shared" si="47"/>
        <v>-</v>
      </c>
    </row>
    <row r="334" spans="1:33" ht="15" thickBot="1" x14ac:dyDescent="0.35">
      <c r="A334" s="574"/>
      <c r="B334" s="346" t="s">
        <v>565</v>
      </c>
      <c r="C334" s="347">
        <v>132</v>
      </c>
      <c r="D334" s="335"/>
      <c r="E334" s="348">
        <v>0.8</v>
      </c>
      <c r="F334" s="349">
        <v>0.6</v>
      </c>
      <c r="G334" s="349">
        <v>0.3</v>
      </c>
      <c r="H334" s="348">
        <v>0.8</v>
      </c>
      <c r="I334" s="347" t="s">
        <v>578</v>
      </c>
      <c r="J334" s="388"/>
      <c r="K334" s="336"/>
      <c r="L334" s="336"/>
      <c r="M334" s="336"/>
      <c r="N334" s="336"/>
      <c r="O334" s="336"/>
      <c r="P334" s="336"/>
      <c r="Q334" s="336"/>
      <c r="R334" s="336"/>
      <c r="S334" s="336"/>
      <c r="T334" s="336"/>
      <c r="U334" s="351"/>
      <c r="V334" s="352" t="s">
        <v>379</v>
      </c>
      <c r="W334" s="323">
        <v>1</v>
      </c>
      <c r="X334" s="324">
        <v>0.95</v>
      </c>
      <c r="Z334" s="48">
        <f t="shared" si="40"/>
        <v>0.95</v>
      </c>
      <c r="AA334" s="48" t="str">
        <f t="shared" si="41"/>
        <v>-</v>
      </c>
      <c r="AB334" s="48" t="str">
        <f t="shared" si="42"/>
        <v>-</v>
      </c>
      <c r="AC334" s="48" t="str">
        <f t="shared" si="43"/>
        <v>-</v>
      </c>
      <c r="AD334" s="48" t="str">
        <f t="shared" si="44"/>
        <v>-</v>
      </c>
      <c r="AE334" s="48" t="str">
        <f t="shared" si="45"/>
        <v>-</v>
      </c>
      <c r="AF334" s="48" t="str">
        <f t="shared" si="46"/>
        <v>-</v>
      </c>
      <c r="AG334" s="48" t="str">
        <f t="shared" si="47"/>
        <v>-</v>
      </c>
    </row>
    <row r="335" spans="1:33" ht="15" thickBot="1" x14ac:dyDescent="0.35">
      <c r="A335" s="574"/>
      <c r="B335" s="346" t="s">
        <v>565</v>
      </c>
      <c r="C335" s="347">
        <v>138</v>
      </c>
      <c r="D335" s="335"/>
      <c r="E335" s="348">
        <v>0.8</v>
      </c>
      <c r="F335" s="349">
        <v>0.6</v>
      </c>
      <c r="G335" s="349">
        <v>0.3</v>
      </c>
      <c r="H335" s="348">
        <v>0.8</v>
      </c>
      <c r="I335" s="347" t="s">
        <v>578</v>
      </c>
      <c r="J335" s="388"/>
      <c r="K335" s="336"/>
      <c r="L335" s="336"/>
      <c r="M335" s="336"/>
      <c r="N335" s="336"/>
      <c r="O335" s="336"/>
      <c r="P335" s="336"/>
      <c r="Q335" s="336"/>
      <c r="R335" s="336"/>
      <c r="S335" s="336"/>
      <c r="T335" s="336"/>
      <c r="U335" s="351"/>
      <c r="V335" s="352" t="s">
        <v>379</v>
      </c>
      <c r="W335" s="323">
        <v>1</v>
      </c>
      <c r="X335" s="324">
        <v>0.88</v>
      </c>
      <c r="Z335" s="48">
        <f t="shared" si="40"/>
        <v>0.88</v>
      </c>
      <c r="AA335" s="48" t="str">
        <f t="shared" si="41"/>
        <v>-</v>
      </c>
      <c r="AB335" s="48" t="str">
        <f t="shared" si="42"/>
        <v>-</v>
      </c>
      <c r="AC335" s="48" t="str">
        <f t="shared" si="43"/>
        <v>-</v>
      </c>
      <c r="AD335" s="48" t="str">
        <f t="shared" si="44"/>
        <v>-</v>
      </c>
      <c r="AE335" s="48" t="str">
        <f t="shared" si="45"/>
        <v>-</v>
      </c>
      <c r="AF335" s="48" t="str">
        <f t="shared" si="46"/>
        <v>-</v>
      </c>
      <c r="AG335" s="48" t="str">
        <f t="shared" si="47"/>
        <v>-</v>
      </c>
    </row>
    <row r="336" spans="1:33" ht="15" thickBot="1" x14ac:dyDescent="0.35">
      <c r="A336" s="574"/>
      <c r="B336" s="346" t="s">
        <v>565</v>
      </c>
      <c r="C336" s="347">
        <v>144</v>
      </c>
      <c r="D336" s="335"/>
      <c r="E336" s="348">
        <v>0.8</v>
      </c>
      <c r="F336" s="349">
        <v>0.6</v>
      </c>
      <c r="G336" s="349">
        <v>0.3</v>
      </c>
      <c r="H336" s="348">
        <v>0.8</v>
      </c>
      <c r="I336" s="347" t="s">
        <v>578</v>
      </c>
      <c r="J336" s="388"/>
      <c r="K336" s="336"/>
      <c r="L336" s="336"/>
      <c r="M336" s="336"/>
      <c r="N336" s="336"/>
      <c r="O336" s="336"/>
      <c r="P336" s="336"/>
      <c r="Q336" s="336"/>
      <c r="R336" s="336"/>
      <c r="S336" s="336"/>
      <c r="T336" s="336"/>
      <c r="U336" s="351"/>
      <c r="V336" s="352" t="s">
        <v>379</v>
      </c>
      <c r="W336" s="323">
        <v>1</v>
      </c>
      <c r="X336" s="324">
        <v>0.82</v>
      </c>
      <c r="Z336" s="48">
        <f t="shared" si="40"/>
        <v>0.82</v>
      </c>
      <c r="AA336" s="48" t="str">
        <f t="shared" si="41"/>
        <v>-</v>
      </c>
      <c r="AB336" s="48" t="str">
        <f t="shared" si="42"/>
        <v>-</v>
      </c>
      <c r="AC336" s="48" t="str">
        <f t="shared" si="43"/>
        <v>-</v>
      </c>
      <c r="AD336" s="48" t="str">
        <f t="shared" si="44"/>
        <v>-</v>
      </c>
      <c r="AE336" s="48" t="str">
        <f t="shared" si="45"/>
        <v>-</v>
      </c>
      <c r="AF336" s="48" t="str">
        <f t="shared" si="46"/>
        <v>-</v>
      </c>
      <c r="AG336" s="48" t="str">
        <f t="shared" si="47"/>
        <v>-</v>
      </c>
    </row>
    <row r="337" spans="1:33" ht="15" thickBot="1" x14ac:dyDescent="0.35">
      <c r="A337" s="574"/>
      <c r="B337" s="346" t="s">
        <v>565</v>
      </c>
      <c r="C337" s="347">
        <v>150</v>
      </c>
      <c r="D337" s="335"/>
      <c r="E337" s="348">
        <v>0.8</v>
      </c>
      <c r="F337" s="349">
        <v>0.6</v>
      </c>
      <c r="G337" s="349">
        <v>0.3</v>
      </c>
      <c r="H337" s="348">
        <v>0.8</v>
      </c>
      <c r="I337" s="347" t="s">
        <v>578</v>
      </c>
      <c r="J337" s="388"/>
      <c r="K337" s="336"/>
      <c r="L337" s="336"/>
      <c r="M337" s="336"/>
      <c r="N337" s="336"/>
      <c r="O337" s="336"/>
      <c r="P337" s="336"/>
      <c r="Q337" s="336"/>
      <c r="R337" s="336"/>
      <c r="S337" s="336"/>
      <c r="T337" s="336"/>
      <c r="U337" s="351"/>
      <c r="V337" s="352" t="s">
        <v>379</v>
      </c>
      <c r="W337" s="323">
        <v>1</v>
      </c>
      <c r="X337" s="324">
        <v>0.73</v>
      </c>
      <c r="Z337" s="48">
        <f t="shared" si="40"/>
        <v>0.73</v>
      </c>
      <c r="AA337" s="48" t="str">
        <f t="shared" si="41"/>
        <v>-</v>
      </c>
      <c r="AB337" s="48" t="str">
        <f t="shared" si="42"/>
        <v>-</v>
      </c>
      <c r="AC337" s="48" t="str">
        <f t="shared" si="43"/>
        <v>-</v>
      </c>
      <c r="AD337" s="48" t="str">
        <f t="shared" si="44"/>
        <v>-</v>
      </c>
      <c r="AE337" s="48" t="str">
        <f t="shared" si="45"/>
        <v>-</v>
      </c>
      <c r="AF337" s="48" t="str">
        <f t="shared" si="46"/>
        <v>-</v>
      </c>
      <c r="AG337" s="48" t="str">
        <f t="shared" si="47"/>
        <v>-</v>
      </c>
    </row>
    <row r="338" spans="1:33" ht="15" thickBot="1" x14ac:dyDescent="0.35">
      <c r="A338" s="574"/>
      <c r="B338" s="346" t="s">
        <v>565</v>
      </c>
      <c r="C338" s="347">
        <v>156</v>
      </c>
      <c r="D338" s="335"/>
      <c r="E338" s="348">
        <v>0.8</v>
      </c>
      <c r="F338" s="349">
        <v>0.6</v>
      </c>
      <c r="G338" s="349">
        <v>0.3</v>
      </c>
      <c r="H338" s="348">
        <v>0.8</v>
      </c>
      <c r="I338" s="347" t="s">
        <v>578</v>
      </c>
      <c r="J338" s="388"/>
      <c r="K338" s="336"/>
      <c r="L338" s="336"/>
      <c r="M338" s="336"/>
      <c r="N338" s="336"/>
      <c r="O338" s="336"/>
      <c r="P338" s="336"/>
      <c r="Q338" s="336"/>
      <c r="R338" s="336"/>
      <c r="S338" s="336"/>
      <c r="T338" s="336"/>
      <c r="U338" s="351"/>
      <c r="V338" s="352" t="s">
        <v>379</v>
      </c>
      <c r="W338" s="323">
        <v>1</v>
      </c>
      <c r="X338" s="324">
        <v>0.73</v>
      </c>
      <c r="Z338" s="48">
        <f t="shared" si="40"/>
        <v>0.73</v>
      </c>
      <c r="AA338" s="48" t="str">
        <f t="shared" si="41"/>
        <v>-</v>
      </c>
      <c r="AB338" s="48" t="str">
        <f t="shared" si="42"/>
        <v>-</v>
      </c>
      <c r="AC338" s="48" t="str">
        <f t="shared" si="43"/>
        <v>-</v>
      </c>
      <c r="AD338" s="48" t="str">
        <f t="shared" si="44"/>
        <v>-</v>
      </c>
      <c r="AE338" s="48" t="str">
        <f t="shared" si="45"/>
        <v>-</v>
      </c>
      <c r="AF338" s="48" t="str">
        <f t="shared" si="46"/>
        <v>-</v>
      </c>
      <c r="AG338" s="48" t="str">
        <f t="shared" si="47"/>
        <v>-</v>
      </c>
    </row>
    <row r="339" spans="1:33" ht="15" thickBot="1" x14ac:dyDescent="0.35">
      <c r="A339" s="574"/>
      <c r="B339" s="346" t="s">
        <v>565</v>
      </c>
      <c r="C339" s="347">
        <v>162</v>
      </c>
      <c r="D339" s="335"/>
      <c r="E339" s="348">
        <v>0.8</v>
      </c>
      <c r="F339" s="349">
        <v>0.6</v>
      </c>
      <c r="G339" s="349">
        <v>0.3</v>
      </c>
      <c r="H339" s="348">
        <v>0.8</v>
      </c>
      <c r="I339" s="347" t="s">
        <v>578</v>
      </c>
      <c r="J339" s="388"/>
      <c r="K339" s="336"/>
      <c r="L339" s="336"/>
      <c r="M339" s="336"/>
      <c r="N339" s="336"/>
      <c r="O339" s="336"/>
      <c r="P339" s="336"/>
      <c r="Q339" s="336"/>
      <c r="R339" s="336"/>
      <c r="S339" s="336"/>
      <c r="T339" s="336"/>
      <c r="U339" s="351"/>
      <c r="V339" s="352" t="s">
        <v>379</v>
      </c>
      <c r="W339" s="323">
        <v>1</v>
      </c>
      <c r="X339" s="324">
        <v>0.73</v>
      </c>
      <c r="Z339" s="48">
        <f t="shared" si="40"/>
        <v>0.73</v>
      </c>
      <c r="AA339" s="48" t="str">
        <f t="shared" si="41"/>
        <v>-</v>
      </c>
      <c r="AB339" s="48" t="str">
        <f t="shared" si="42"/>
        <v>-</v>
      </c>
      <c r="AC339" s="48" t="str">
        <f t="shared" si="43"/>
        <v>-</v>
      </c>
      <c r="AD339" s="48" t="str">
        <f t="shared" si="44"/>
        <v>-</v>
      </c>
      <c r="AE339" s="48" t="str">
        <f t="shared" si="45"/>
        <v>-</v>
      </c>
      <c r="AF339" s="48" t="str">
        <f t="shared" si="46"/>
        <v>-</v>
      </c>
      <c r="AG339" s="48" t="str">
        <f t="shared" si="47"/>
        <v>-</v>
      </c>
    </row>
    <row r="340" spans="1:33" ht="15" thickBot="1" x14ac:dyDescent="0.35">
      <c r="A340" s="574"/>
      <c r="B340" s="346" t="s">
        <v>565</v>
      </c>
      <c r="C340" s="347">
        <v>168</v>
      </c>
      <c r="D340" s="335"/>
      <c r="E340" s="348">
        <v>0.8</v>
      </c>
      <c r="F340" s="349">
        <v>0.6</v>
      </c>
      <c r="G340" s="349">
        <v>0.3</v>
      </c>
      <c r="H340" s="348">
        <v>0.8</v>
      </c>
      <c r="I340" s="347" t="s">
        <v>578</v>
      </c>
      <c r="J340" s="350"/>
      <c r="K340" s="336"/>
      <c r="L340" s="336"/>
      <c r="M340" s="336"/>
      <c r="N340" s="336"/>
      <c r="O340" s="336"/>
      <c r="P340" s="336"/>
      <c r="Q340" s="336"/>
      <c r="R340" s="336"/>
      <c r="S340" s="336"/>
      <c r="T340" s="336"/>
      <c r="U340" s="351"/>
      <c r="V340" s="352" t="s">
        <v>379</v>
      </c>
      <c r="W340" s="323">
        <v>1</v>
      </c>
      <c r="X340" s="324">
        <v>0.73</v>
      </c>
      <c r="Z340" s="48">
        <f t="shared" si="40"/>
        <v>0.73</v>
      </c>
      <c r="AA340" s="48" t="str">
        <f t="shared" si="41"/>
        <v>-</v>
      </c>
      <c r="AB340" s="48" t="str">
        <f t="shared" si="42"/>
        <v>-</v>
      </c>
      <c r="AC340" s="48" t="str">
        <f t="shared" si="43"/>
        <v>-</v>
      </c>
      <c r="AD340" s="48" t="str">
        <f t="shared" si="44"/>
        <v>-</v>
      </c>
      <c r="AE340" s="48" t="str">
        <f t="shared" si="45"/>
        <v>-</v>
      </c>
      <c r="AF340" s="48" t="str">
        <f t="shared" si="46"/>
        <v>-</v>
      </c>
      <c r="AG340" s="48" t="str">
        <f t="shared" si="47"/>
        <v>-</v>
      </c>
    </row>
    <row r="341" spans="1:33" ht="15" thickBot="1" x14ac:dyDescent="0.35">
      <c r="A341" s="574"/>
      <c r="B341" s="346" t="s">
        <v>565</v>
      </c>
      <c r="C341" s="347">
        <v>174</v>
      </c>
      <c r="D341" s="335"/>
      <c r="E341" s="348">
        <v>0.8</v>
      </c>
      <c r="F341" s="349">
        <v>0.6</v>
      </c>
      <c r="G341" s="349">
        <v>0.3</v>
      </c>
      <c r="H341" s="348">
        <v>0.8</v>
      </c>
      <c r="I341" s="347" t="s">
        <v>578</v>
      </c>
      <c r="J341" s="350"/>
      <c r="K341" s="336"/>
      <c r="L341" s="336"/>
      <c r="M341" s="336"/>
      <c r="N341" s="336"/>
      <c r="O341" s="336"/>
      <c r="P341" s="336"/>
      <c r="Q341" s="336"/>
      <c r="R341" s="336"/>
      <c r="S341" s="336"/>
      <c r="T341" s="336"/>
      <c r="U341" s="351"/>
      <c r="V341" s="352" t="s">
        <v>379</v>
      </c>
      <c r="W341" s="323">
        <v>1</v>
      </c>
      <c r="X341" s="324">
        <v>0.73</v>
      </c>
      <c r="Z341" s="48">
        <f t="shared" si="40"/>
        <v>0.73</v>
      </c>
      <c r="AA341" s="48" t="str">
        <f t="shared" si="41"/>
        <v>-</v>
      </c>
      <c r="AB341" s="48" t="str">
        <f t="shared" si="42"/>
        <v>-</v>
      </c>
      <c r="AC341" s="48" t="str">
        <f t="shared" si="43"/>
        <v>-</v>
      </c>
      <c r="AD341" s="48" t="str">
        <f t="shared" si="44"/>
        <v>-</v>
      </c>
      <c r="AE341" s="48" t="str">
        <f t="shared" si="45"/>
        <v>-</v>
      </c>
      <c r="AF341" s="48" t="str">
        <f t="shared" si="46"/>
        <v>-</v>
      </c>
      <c r="AG341" s="48" t="str">
        <f t="shared" si="47"/>
        <v>-</v>
      </c>
    </row>
    <row r="342" spans="1:33" ht="15" thickBot="1" x14ac:dyDescent="0.35">
      <c r="A342" s="574"/>
      <c r="B342" s="346" t="s">
        <v>565</v>
      </c>
      <c r="C342" s="347">
        <v>180</v>
      </c>
      <c r="D342" s="335"/>
      <c r="E342" s="348">
        <v>0.8</v>
      </c>
      <c r="F342" s="349">
        <v>0.6</v>
      </c>
      <c r="G342" s="349">
        <v>0.3</v>
      </c>
      <c r="H342" s="348">
        <v>0.8</v>
      </c>
      <c r="I342" s="347" t="s">
        <v>578</v>
      </c>
      <c r="J342" s="350"/>
      <c r="K342" s="336"/>
      <c r="L342" s="336"/>
      <c r="M342" s="336"/>
      <c r="N342" s="336"/>
      <c r="O342" s="336"/>
      <c r="P342" s="336"/>
      <c r="Q342" s="336"/>
      <c r="R342" s="336"/>
      <c r="S342" s="336"/>
      <c r="T342" s="336"/>
      <c r="U342" s="351"/>
      <c r="V342" s="352" t="s">
        <v>379</v>
      </c>
      <c r="W342" s="323">
        <v>1</v>
      </c>
      <c r="X342" s="324">
        <v>0.73</v>
      </c>
      <c r="Z342" s="48">
        <f t="shared" si="40"/>
        <v>0.73</v>
      </c>
      <c r="AA342" s="48" t="str">
        <f t="shared" si="41"/>
        <v>-</v>
      </c>
      <c r="AB342" s="48" t="str">
        <f t="shared" si="42"/>
        <v>-</v>
      </c>
      <c r="AC342" s="48" t="str">
        <f t="shared" si="43"/>
        <v>-</v>
      </c>
      <c r="AD342" s="48" t="str">
        <f t="shared" si="44"/>
        <v>-</v>
      </c>
      <c r="AE342" s="48" t="str">
        <f t="shared" si="45"/>
        <v>-</v>
      </c>
      <c r="AF342" s="48" t="str">
        <f t="shared" si="46"/>
        <v>-</v>
      </c>
      <c r="AG342" s="48" t="str">
        <f t="shared" si="47"/>
        <v>-</v>
      </c>
    </row>
    <row r="343" spans="1:33" ht="15" thickBot="1" x14ac:dyDescent="0.35">
      <c r="A343" s="574"/>
      <c r="B343" s="346" t="s">
        <v>565</v>
      </c>
      <c r="C343" s="347">
        <v>186</v>
      </c>
      <c r="D343" s="335"/>
      <c r="E343" s="348">
        <v>0.8</v>
      </c>
      <c r="F343" s="349">
        <v>0.6</v>
      </c>
      <c r="G343" s="349">
        <v>0.3</v>
      </c>
      <c r="H343" s="348">
        <v>0.8</v>
      </c>
      <c r="I343" s="347" t="s">
        <v>578</v>
      </c>
      <c r="J343" s="350"/>
      <c r="K343" s="336"/>
      <c r="L343" s="336"/>
      <c r="M343" s="336"/>
      <c r="N343" s="336"/>
      <c r="O343" s="336"/>
      <c r="P343" s="336"/>
      <c r="Q343" s="336"/>
      <c r="R343" s="336"/>
      <c r="S343" s="336"/>
      <c r="T343" s="336"/>
      <c r="U343" s="351"/>
      <c r="V343" s="352" t="s">
        <v>379</v>
      </c>
      <c r="W343" s="323">
        <v>1</v>
      </c>
      <c r="X343" s="324">
        <v>0.73</v>
      </c>
      <c r="Z343" s="48">
        <f t="shared" si="40"/>
        <v>0.73</v>
      </c>
      <c r="AA343" s="48" t="str">
        <f t="shared" si="41"/>
        <v>-</v>
      </c>
      <c r="AB343" s="48" t="str">
        <f t="shared" si="42"/>
        <v>-</v>
      </c>
      <c r="AC343" s="48" t="str">
        <f t="shared" si="43"/>
        <v>-</v>
      </c>
      <c r="AD343" s="48" t="str">
        <f t="shared" si="44"/>
        <v>-</v>
      </c>
      <c r="AE343" s="48" t="str">
        <f t="shared" si="45"/>
        <v>-</v>
      </c>
      <c r="AF343" s="48" t="str">
        <f t="shared" si="46"/>
        <v>-</v>
      </c>
      <c r="AG343" s="48" t="str">
        <f t="shared" si="47"/>
        <v>-</v>
      </c>
    </row>
    <row r="344" spans="1:33" ht="15" thickBot="1" x14ac:dyDescent="0.35">
      <c r="A344" s="574"/>
      <c r="B344" s="346" t="s">
        <v>565</v>
      </c>
      <c r="C344" s="347">
        <v>192</v>
      </c>
      <c r="D344" s="335"/>
      <c r="E344" s="348">
        <v>0.8</v>
      </c>
      <c r="F344" s="349">
        <v>0.6</v>
      </c>
      <c r="G344" s="349">
        <v>0.3</v>
      </c>
      <c r="H344" s="348">
        <v>0.8</v>
      </c>
      <c r="I344" s="347" t="s">
        <v>578</v>
      </c>
      <c r="J344" s="350"/>
      <c r="K344" s="336"/>
      <c r="L344" s="336"/>
      <c r="M344" s="336"/>
      <c r="N344" s="336"/>
      <c r="O344" s="336"/>
      <c r="P344" s="336"/>
      <c r="Q344" s="336"/>
      <c r="R344" s="336"/>
      <c r="S344" s="336"/>
      <c r="T344" s="336"/>
      <c r="U344" s="351"/>
      <c r="V344" s="352" t="s">
        <v>379</v>
      </c>
      <c r="W344" s="323">
        <v>1</v>
      </c>
      <c r="X344" s="324">
        <v>0.73</v>
      </c>
      <c r="Z344" s="48">
        <f t="shared" si="40"/>
        <v>0.73</v>
      </c>
      <c r="AA344" s="48" t="str">
        <f t="shared" si="41"/>
        <v>-</v>
      </c>
      <c r="AB344" s="48" t="str">
        <f t="shared" si="42"/>
        <v>-</v>
      </c>
      <c r="AC344" s="48" t="str">
        <f t="shared" si="43"/>
        <v>-</v>
      </c>
      <c r="AD344" s="48" t="str">
        <f t="shared" si="44"/>
        <v>-</v>
      </c>
      <c r="AE344" s="48" t="str">
        <f t="shared" si="45"/>
        <v>-</v>
      </c>
      <c r="AF344" s="48" t="str">
        <f t="shared" si="46"/>
        <v>-</v>
      </c>
      <c r="AG344" s="48" t="str">
        <f t="shared" si="47"/>
        <v>-</v>
      </c>
    </row>
    <row r="345" spans="1:33" ht="15" thickBot="1" x14ac:dyDescent="0.35">
      <c r="A345" s="577"/>
      <c r="B345" s="353" t="s">
        <v>565</v>
      </c>
      <c r="C345" s="354">
        <v>195</v>
      </c>
      <c r="D345" s="355"/>
      <c r="E345" s="356">
        <v>0.8</v>
      </c>
      <c r="F345" s="357">
        <v>0.6</v>
      </c>
      <c r="G345" s="357">
        <v>0.3</v>
      </c>
      <c r="H345" s="356">
        <v>0.8</v>
      </c>
      <c r="I345" s="354" t="s">
        <v>578</v>
      </c>
      <c r="J345" s="358"/>
      <c r="K345" s="359"/>
      <c r="L345" s="359"/>
      <c r="M345" s="359"/>
      <c r="N345" s="359"/>
      <c r="O345" s="359"/>
      <c r="P345" s="359"/>
      <c r="Q345" s="359"/>
      <c r="R345" s="359"/>
      <c r="S345" s="359"/>
      <c r="T345" s="359"/>
      <c r="U345" s="360"/>
      <c r="V345" s="361" t="s">
        <v>379</v>
      </c>
      <c r="W345" s="325">
        <v>1</v>
      </c>
      <c r="X345" s="326">
        <v>0.73</v>
      </c>
      <c r="Z345" s="48">
        <f t="shared" si="40"/>
        <v>0.73</v>
      </c>
      <c r="AA345" s="48" t="str">
        <f t="shared" si="41"/>
        <v>-</v>
      </c>
      <c r="AB345" s="48" t="str">
        <f t="shared" si="42"/>
        <v>-</v>
      </c>
      <c r="AC345" s="48" t="str">
        <f t="shared" si="43"/>
        <v>-</v>
      </c>
      <c r="AD345" s="48" t="str">
        <f t="shared" si="44"/>
        <v>-</v>
      </c>
      <c r="AE345" s="48" t="str">
        <f t="shared" si="45"/>
        <v>-</v>
      </c>
      <c r="AF345" s="48" t="str">
        <f t="shared" si="46"/>
        <v>-</v>
      </c>
      <c r="AG345" s="48" t="str">
        <f t="shared" si="47"/>
        <v>-</v>
      </c>
    </row>
    <row r="346" spans="1:33" ht="15" thickBot="1" x14ac:dyDescent="0.35">
      <c r="A346" s="573" t="s">
        <v>568</v>
      </c>
      <c r="B346" s="362" t="s">
        <v>565</v>
      </c>
      <c r="C346" s="363">
        <v>107</v>
      </c>
      <c r="D346" s="335"/>
      <c r="E346" s="364">
        <v>0.8</v>
      </c>
      <c r="F346" s="365">
        <v>0.6</v>
      </c>
      <c r="G346" s="365">
        <v>0.3</v>
      </c>
      <c r="H346" s="364">
        <v>0.8</v>
      </c>
      <c r="I346" s="363" t="s">
        <v>578</v>
      </c>
      <c r="J346" s="390"/>
      <c r="K346" s="336"/>
      <c r="L346" s="336"/>
      <c r="M346" s="336"/>
      <c r="N346" s="336"/>
      <c r="O346" s="336"/>
      <c r="P346" s="336"/>
      <c r="Q346" s="336"/>
      <c r="R346" s="336"/>
      <c r="S346" s="336"/>
      <c r="T346" s="336"/>
      <c r="U346" s="351"/>
      <c r="V346" s="352" t="s">
        <v>379</v>
      </c>
      <c r="W346" s="327"/>
      <c r="X346" s="328">
        <v>6.74</v>
      </c>
      <c r="Z346" s="48">
        <f t="shared" si="40"/>
        <v>6.74</v>
      </c>
      <c r="AA346" s="48" t="str">
        <f t="shared" si="41"/>
        <v>-</v>
      </c>
      <c r="AB346" s="48" t="str">
        <f t="shared" si="42"/>
        <v>-</v>
      </c>
      <c r="AC346" s="48" t="str">
        <f t="shared" si="43"/>
        <v>-</v>
      </c>
      <c r="AD346" s="48" t="str">
        <f t="shared" si="44"/>
        <v>-</v>
      </c>
      <c r="AE346" s="48" t="str">
        <f t="shared" si="45"/>
        <v>-</v>
      </c>
      <c r="AF346" s="48" t="str">
        <f t="shared" si="46"/>
        <v>-</v>
      </c>
      <c r="AG346" s="48" t="str">
        <f t="shared" si="47"/>
        <v>-</v>
      </c>
    </row>
    <row r="347" spans="1:33" ht="15" thickBot="1" x14ac:dyDescent="0.35">
      <c r="A347" s="574"/>
      <c r="B347" s="346" t="s">
        <v>565</v>
      </c>
      <c r="C347" s="347">
        <v>113</v>
      </c>
      <c r="D347" s="335"/>
      <c r="E347" s="348">
        <v>0.8</v>
      </c>
      <c r="F347" s="349">
        <v>0.6</v>
      </c>
      <c r="G347" s="349">
        <v>0.3</v>
      </c>
      <c r="H347" s="348">
        <v>0.8</v>
      </c>
      <c r="I347" s="347" t="s">
        <v>578</v>
      </c>
      <c r="J347" s="350"/>
      <c r="K347" s="336"/>
      <c r="L347" s="336"/>
      <c r="M347" s="336"/>
      <c r="N347" s="336"/>
      <c r="O347" s="336"/>
      <c r="P347" s="336"/>
      <c r="Q347" s="336"/>
      <c r="R347" s="336"/>
      <c r="S347" s="336"/>
      <c r="T347" s="336"/>
      <c r="U347" s="351"/>
      <c r="V347" s="352" t="s">
        <v>379</v>
      </c>
      <c r="W347" s="323"/>
      <c r="X347" s="324">
        <v>6.56</v>
      </c>
      <c r="Z347" s="48">
        <f t="shared" si="40"/>
        <v>6.56</v>
      </c>
      <c r="AA347" s="48" t="str">
        <f t="shared" si="41"/>
        <v>-</v>
      </c>
      <c r="AB347" s="48" t="str">
        <f t="shared" si="42"/>
        <v>-</v>
      </c>
      <c r="AC347" s="48" t="str">
        <f t="shared" si="43"/>
        <v>-</v>
      </c>
      <c r="AD347" s="48" t="str">
        <f t="shared" si="44"/>
        <v>-</v>
      </c>
      <c r="AE347" s="48" t="str">
        <f t="shared" si="45"/>
        <v>-</v>
      </c>
      <c r="AF347" s="48" t="str">
        <f t="shared" si="46"/>
        <v>-</v>
      </c>
      <c r="AG347" s="48" t="str">
        <f t="shared" si="47"/>
        <v>-</v>
      </c>
    </row>
    <row r="348" spans="1:33" ht="15" thickBot="1" x14ac:dyDescent="0.35">
      <c r="A348" s="574"/>
      <c r="B348" s="346" t="s">
        <v>565</v>
      </c>
      <c r="C348" s="347">
        <v>119</v>
      </c>
      <c r="D348" s="335"/>
      <c r="E348" s="348">
        <v>0.8</v>
      </c>
      <c r="F348" s="349">
        <v>0.6</v>
      </c>
      <c r="G348" s="349">
        <v>0.3</v>
      </c>
      <c r="H348" s="348">
        <v>0.8</v>
      </c>
      <c r="I348" s="346"/>
      <c r="J348" s="350" t="s">
        <v>578</v>
      </c>
      <c r="K348" s="336"/>
      <c r="L348" s="336"/>
      <c r="M348" s="336"/>
      <c r="N348" s="336"/>
      <c r="O348" s="336"/>
      <c r="P348" s="336"/>
      <c r="Q348" s="336"/>
      <c r="R348" s="336"/>
      <c r="S348" s="336"/>
      <c r="T348" s="336"/>
      <c r="U348" s="351"/>
      <c r="V348" s="352" t="s">
        <v>122</v>
      </c>
      <c r="W348" s="323"/>
      <c r="X348" s="324">
        <v>6.45</v>
      </c>
      <c r="Z348" s="48" t="str">
        <f t="shared" si="40"/>
        <v>-</v>
      </c>
      <c r="AA348" s="48">
        <f t="shared" si="41"/>
        <v>6.45</v>
      </c>
      <c r="AB348" s="48" t="str">
        <f t="shared" si="42"/>
        <v>-</v>
      </c>
      <c r="AC348" s="48" t="str">
        <f t="shared" si="43"/>
        <v>-</v>
      </c>
      <c r="AD348" s="48" t="str">
        <f t="shared" si="44"/>
        <v>-</v>
      </c>
      <c r="AE348" s="48" t="str">
        <f t="shared" si="45"/>
        <v>-</v>
      </c>
      <c r="AF348" s="48" t="str">
        <f t="shared" si="46"/>
        <v>-</v>
      </c>
      <c r="AG348" s="48" t="str">
        <f t="shared" si="47"/>
        <v>-</v>
      </c>
    </row>
    <row r="349" spans="1:33" ht="15" thickBot="1" x14ac:dyDescent="0.35">
      <c r="A349" s="574"/>
      <c r="B349" s="346" t="s">
        <v>565</v>
      </c>
      <c r="C349" s="347">
        <v>125</v>
      </c>
      <c r="D349" s="335"/>
      <c r="E349" s="348">
        <v>0.8</v>
      </c>
      <c r="F349" s="349">
        <v>0.6</v>
      </c>
      <c r="G349" s="349">
        <v>0.3</v>
      </c>
      <c r="H349" s="348">
        <v>0.8</v>
      </c>
      <c r="I349" s="347" t="s">
        <v>578</v>
      </c>
      <c r="J349" s="350"/>
      <c r="K349" s="336"/>
      <c r="L349" s="336"/>
      <c r="M349" s="336"/>
      <c r="N349" s="336"/>
      <c r="O349" s="336"/>
      <c r="P349" s="336"/>
      <c r="Q349" s="336"/>
      <c r="R349" s="336"/>
      <c r="S349" s="336"/>
      <c r="T349" s="336"/>
      <c r="U349" s="351"/>
      <c r="V349" s="352" t="s">
        <v>379</v>
      </c>
      <c r="W349" s="323"/>
      <c r="X349" s="324">
        <v>6.24</v>
      </c>
      <c r="Z349" s="48">
        <f t="shared" si="40"/>
        <v>6.24</v>
      </c>
      <c r="AA349" s="48" t="str">
        <f t="shared" si="41"/>
        <v>-</v>
      </c>
      <c r="AB349" s="48" t="str">
        <f t="shared" si="42"/>
        <v>-</v>
      </c>
      <c r="AC349" s="48" t="str">
        <f t="shared" si="43"/>
        <v>-</v>
      </c>
      <c r="AD349" s="48" t="str">
        <f t="shared" si="44"/>
        <v>-</v>
      </c>
      <c r="AE349" s="48" t="str">
        <f t="shared" si="45"/>
        <v>-</v>
      </c>
      <c r="AF349" s="48" t="str">
        <f t="shared" si="46"/>
        <v>-</v>
      </c>
      <c r="AG349" s="48" t="str">
        <f t="shared" si="47"/>
        <v>-</v>
      </c>
    </row>
    <row r="350" spans="1:33" ht="15" thickBot="1" x14ac:dyDescent="0.35">
      <c r="A350" s="574"/>
      <c r="B350" s="346" t="s">
        <v>565</v>
      </c>
      <c r="C350" s="347">
        <v>131</v>
      </c>
      <c r="D350" s="335"/>
      <c r="E350" s="348">
        <v>0.8</v>
      </c>
      <c r="F350" s="349">
        <v>0.6</v>
      </c>
      <c r="G350" s="349">
        <v>0.3</v>
      </c>
      <c r="H350" s="348">
        <v>0.8</v>
      </c>
      <c r="I350" s="347" t="s">
        <v>578</v>
      </c>
      <c r="J350" s="350"/>
      <c r="K350" s="336"/>
      <c r="L350" s="336"/>
      <c r="M350" s="336"/>
      <c r="N350" s="336"/>
      <c r="O350" s="336"/>
      <c r="P350" s="336"/>
      <c r="Q350" s="336"/>
      <c r="R350" s="336"/>
      <c r="S350" s="336"/>
      <c r="T350" s="336"/>
      <c r="U350" s="351"/>
      <c r="V350" s="352" t="s">
        <v>379</v>
      </c>
      <c r="W350" s="323"/>
      <c r="X350" s="324">
        <v>5.89</v>
      </c>
      <c r="Z350" s="48">
        <f t="shared" si="40"/>
        <v>5.89</v>
      </c>
      <c r="AA350" s="48" t="str">
        <f t="shared" si="41"/>
        <v>-</v>
      </c>
      <c r="AB350" s="48" t="str">
        <f t="shared" si="42"/>
        <v>-</v>
      </c>
      <c r="AC350" s="48" t="str">
        <f t="shared" si="43"/>
        <v>-</v>
      </c>
      <c r="AD350" s="48" t="str">
        <f t="shared" si="44"/>
        <v>-</v>
      </c>
      <c r="AE350" s="48" t="str">
        <f t="shared" si="45"/>
        <v>-</v>
      </c>
      <c r="AF350" s="48" t="str">
        <f t="shared" si="46"/>
        <v>-</v>
      </c>
      <c r="AG350" s="48" t="str">
        <f t="shared" si="47"/>
        <v>-</v>
      </c>
    </row>
    <row r="351" spans="1:33" ht="15" thickBot="1" x14ac:dyDescent="0.35">
      <c r="A351" s="574"/>
      <c r="B351" s="346" t="s">
        <v>565</v>
      </c>
      <c r="C351" s="347">
        <v>137</v>
      </c>
      <c r="D351" s="335"/>
      <c r="E351" s="348">
        <v>0.8</v>
      </c>
      <c r="F351" s="349">
        <v>0.6</v>
      </c>
      <c r="G351" s="349">
        <v>0.3</v>
      </c>
      <c r="H351" s="348">
        <v>0.8</v>
      </c>
      <c r="I351" s="347" t="s">
        <v>578</v>
      </c>
      <c r="J351" s="350"/>
      <c r="K351" s="336"/>
      <c r="L351" s="336"/>
      <c r="M351" s="336"/>
      <c r="N351" s="336"/>
      <c r="O351" s="336"/>
      <c r="P351" s="336"/>
      <c r="Q351" s="336"/>
      <c r="R351" s="336"/>
      <c r="S351" s="336"/>
      <c r="T351" s="336"/>
      <c r="U351" s="351"/>
      <c r="V351" s="352" t="s">
        <v>379</v>
      </c>
      <c r="W351" s="323"/>
      <c r="X351" s="324">
        <v>5.68</v>
      </c>
      <c r="Z351" s="48">
        <f t="shared" si="40"/>
        <v>5.68</v>
      </c>
      <c r="AA351" s="48" t="str">
        <f t="shared" si="41"/>
        <v>-</v>
      </c>
      <c r="AB351" s="48" t="str">
        <f t="shared" si="42"/>
        <v>-</v>
      </c>
      <c r="AC351" s="48" t="str">
        <f t="shared" si="43"/>
        <v>-</v>
      </c>
      <c r="AD351" s="48" t="str">
        <f t="shared" si="44"/>
        <v>-</v>
      </c>
      <c r="AE351" s="48" t="str">
        <f t="shared" si="45"/>
        <v>-</v>
      </c>
      <c r="AF351" s="48" t="str">
        <f t="shared" si="46"/>
        <v>-</v>
      </c>
      <c r="AG351" s="48" t="str">
        <f t="shared" si="47"/>
        <v>-</v>
      </c>
    </row>
    <row r="352" spans="1:33" ht="15" thickBot="1" x14ac:dyDescent="0.35">
      <c r="A352" s="574"/>
      <c r="B352" s="346" t="s">
        <v>565</v>
      </c>
      <c r="C352" s="347">
        <v>143</v>
      </c>
      <c r="D352" s="335"/>
      <c r="E352" s="348">
        <v>0.8</v>
      </c>
      <c r="F352" s="349">
        <v>0.6</v>
      </c>
      <c r="G352" s="349">
        <v>0.3</v>
      </c>
      <c r="H352" s="348">
        <v>0.8</v>
      </c>
      <c r="I352" s="347" t="s">
        <v>578</v>
      </c>
      <c r="J352" s="350"/>
      <c r="K352" s="336"/>
      <c r="L352" s="336"/>
      <c r="M352" s="336"/>
      <c r="N352" s="336"/>
      <c r="O352" s="336"/>
      <c r="P352" s="336"/>
      <c r="Q352" s="336"/>
      <c r="R352" s="336"/>
      <c r="S352" s="336"/>
      <c r="T352" s="336"/>
      <c r="U352" s="351"/>
      <c r="V352" s="352" t="s">
        <v>379</v>
      </c>
      <c r="W352" s="323"/>
      <c r="X352" s="324">
        <v>5.38</v>
      </c>
      <c r="Z352" s="48">
        <f t="shared" si="40"/>
        <v>5.38</v>
      </c>
      <c r="AA352" s="48" t="str">
        <f t="shared" si="41"/>
        <v>-</v>
      </c>
      <c r="AB352" s="48" t="str">
        <f t="shared" si="42"/>
        <v>-</v>
      </c>
      <c r="AC352" s="48" t="str">
        <f t="shared" si="43"/>
        <v>-</v>
      </c>
      <c r="AD352" s="48" t="str">
        <f t="shared" si="44"/>
        <v>-</v>
      </c>
      <c r="AE352" s="48" t="str">
        <f t="shared" si="45"/>
        <v>-</v>
      </c>
      <c r="AF352" s="48" t="str">
        <f t="shared" si="46"/>
        <v>-</v>
      </c>
      <c r="AG352" s="48" t="str">
        <f t="shared" si="47"/>
        <v>-</v>
      </c>
    </row>
    <row r="353" spans="1:33" ht="15" thickBot="1" x14ac:dyDescent="0.35">
      <c r="A353" s="574"/>
      <c r="B353" s="346" t="s">
        <v>565</v>
      </c>
      <c r="C353" s="347" t="s">
        <v>377</v>
      </c>
      <c r="D353" s="335"/>
      <c r="E353" s="348">
        <v>0.8</v>
      </c>
      <c r="F353" s="349">
        <v>0.6</v>
      </c>
      <c r="G353" s="349">
        <v>0.3</v>
      </c>
      <c r="H353" s="348">
        <v>0.8</v>
      </c>
      <c r="I353" s="347" t="s">
        <v>578</v>
      </c>
      <c r="J353" s="350"/>
      <c r="K353" s="336"/>
      <c r="L353" s="336"/>
      <c r="M353" s="336"/>
      <c r="N353" s="336"/>
      <c r="O353" s="336"/>
      <c r="P353" s="336"/>
      <c r="Q353" s="336"/>
      <c r="R353" s="336"/>
      <c r="S353" s="336"/>
      <c r="T353" s="336"/>
      <c r="U353" s="351"/>
      <c r="V353" s="352" t="s">
        <v>379</v>
      </c>
      <c r="W353" s="323"/>
      <c r="X353" s="324">
        <v>5.07</v>
      </c>
      <c r="Z353" s="48">
        <f t="shared" si="40"/>
        <v>5.07</v>
      </c>
      <c r="AA353" s="48" t="str">
        <f t="shared" si="41"/>
        <v>-</v>
      </c>
      <c r="AB353" s="48" t="str">
        <f t="shared" si="42"/>
        <v>-</v>
      </c>
      <c r="AC353" s="48" t="str">
        <f t="shared" si="43"/>
        <v>-</v>
      </c>
      <c r="AD353" s="48" t="str">
        <f t="shared" si="44"/>
        <v>-</v>
      </c>
      <c r="AE353" s="48" t="str">
        <f t="shared" si="45"/>
        <v>-</v>
      </c>
      <c r="AF353" s="48" t="str">
        <f t="shared" si="46"/>
        <v>-</v>
      </c>
      <c r="AG353" s="48" t="str">
        <f t="shared" si="47"/>
        <v>-</v>
      </c>
    </row>
    <row r="354" spans="1:33" ht="15" thickBot="1" x14ac:dyDescent="0.35">
      <c r="A354" s="574"/>
      <c r="B354" s="346" t="s">
        <v>565</v>
      </c>
      <c r="C354" s="347">
        <v>207</v>
      </c>
      <c r="D354" s="335"/>
      <c r="E354" s="348">
        <v>0.8</v>
      </c>
      <c r="F354" s="349">
        <v>0.6</v>
      </c>
      <c r="G354" s="349">
        <v>0.3</v>
      </c>
      <c r="H354" s="348">
        <v>0.8</v>
      </c>
      <c r="I354" s="347" t="s">
        <v>578</v>
      </c>
      <c r="J354" s="350"/>
      <c r="K354" s="336"/>
      <c r="L354" s="336"/>
      <c r="M354" s="336"/>
      <c r="N354" s="336"/>
      <c r="O354" s="336"/>
      <c r="P354" s="336"/>
      <c r="Q354" s="336"/>
      <c r="R354" s="336"/>
      <c r="S354" s="336"/>
      <c r="T354" s="336"/>
      <c r="U354" s="351"/>
      <c r="V354" s="352" t="s">
        <v>379</v>
      </c>
      <c r="W354" s="323"/>
      <c r="X354" s="324">
        <v>4.66</v>
      </c>
      <c r="Z354" s="48">
        <f t="shared" si="40"/>
        <v>4.66</v>
      </c>
      <c r="AA354" s="48" t="str">
        <f t="shared" si="41"/>
        <v>-</v>
      </c>
      <c r="AB354" s="48" t="str">
        <f t="shared" si="42"/>
        <v>-</v>
      </c>
      <c r="AC354" s="48" t="str">
        <f t="shared" si="43"/>
        <v>-</v>
      </c>
      <c r="AD354" s="48" t="str">
        <f t="shared" si="44"/>
        <v>-</v>
      </c>
      <c r="AE354" s="48" t="str">
        <f t="shared" si="45"/>
        <v>-</v>
      </c>
      <c r="AF354" s="48" t="str">
        <f t="shared" si="46"/>
        <v>-</v>
      </c>
      <c r="AG354" s="48" t="str">
        <f t="shared" si="47"/>
        <v>-</v>
      </c>
    </row>
    <row r="355" spans="1:33" ht="15" thickBot="1" x14ac:dyDescent="0.35">
      <c r="A355" s="574"/>
      <c r="B355" s="346" t="s">
        <v>569</v>
      </c>
      <c r="C355" s="347">
        <v>106</v>
      </c>
      <c r="D355" s="335"/>
      <c r="E355" s="348">
        <v>0.8</v>
      </c>
      <c r="F355" s="349">
        <v>0.6</v>
      </c>
      <c r="G355" s="349">
        <v>0.3</v>
      </c>
      <c r="H355" s="348">
        <v>0.8</v>
      </c>
      <c r="I355" s="347" t="s">
        <v>578</v>
      </c>
      <c r="J355" s="350"/>
      <c r="K355" s="336"/>
      <c r="L355" s="336"/>
      <c r="M355" s="336"/>
      <c r="N355" s="336"/>
      <c r="O355" s="336"/>
      <c r="P355" s="336"/>
      <c r="Q355" s="336"/>
      <c r="R355" s="336"/>
      <c r="S355" s="336"/>
      <c r="T355" s="336"/>
      <c r="U355" s="351"/>
      <c r="V355" s="352" t="s">
        <v>379</v>
      </c>
      <c r="W355" s="323"/>
      <c r="X355" s="324">
        <v>2.4</v>
      </c>
      <c r="Z355" s="48">
        <f t="shared" si="40"/>
        <v>2.4</v>
      </c>
      <c r="AA355" s="48" t="str">
        <f t="shared" si="41"/>
        <v>-</v>
      </c>
      <c r="AB355" s="48" t="str">
        <f t="shared" si="42"/>
        <v>-</v>
      </c>
      <c r="AC355" s="48" t="str">
        <f t="shared" si="43"/>
        <v>-</v>
      </c>
      <c r="AD355" s="48" t="str">
        <f t="shared" si="44"/>
        <v>-</v>
      </c>
      <c r="AE355" s="48" t="str">
        <f t="shared" si="45"/>
        <v>-</v>
      </c>
      <c r="AF355" s="48" t="str">
        <f t="shared" si="46"/>
        <v>-</v>
      </c>
      <c r="AG355" s="48" t="str">
        <f t="shared" si="47"/>
        <v>-</v>
      </c>
    </row>
    <row r="356" spans="1:33" ht="15" thickBot="1" x14ac:dyDescent="0.35">
      <c r="A356" s="574"/>
      <c r="B356" s="346" t="s">
        <v>569</v>
      </c>
      <c r="C356" s="347">
        <v>112</v>
      </c>
      <c r="D356" s="335"/>
      <c r="E356" s="348">
        <v>0.8</v>
      </c>
      <c r="F356" s="349">
        <v>0.6</v>
      </c>
      <c r="G356" s="349">
        <v>0.3</v>
      </c>
      <c r="H356" s="348">
        <v>0.8</v>
      </c>
      <c r="I356" s="347" t="s">
        <v>578</v>
      </c>
      <c r="J356" s="388"/>
      <c r="K356" s="336"/>
      <c r="L356" s="336"/>
      <c r="M356" s="336"/>
      <c r="N356" s="336"/>
      <c r="O356" s="336"/>
      <c r="P356" s="336"/>
      <c r="Q356" s="336"/>
      <c r="R356" s="336"/>
      <c r="S356" s="336"/>
      <c r="T356" s="336"/>
      <c r="U356" s="351"/>
      <c r="V356" s="352" t="s">
        <v>379</v>
      </c>
      <c r="W356" s="323"/>
      <c r="X356" s="324">
        <v>2.6</v>
      </c>
      <c r="Z356" s="48">
        <f t="shared" si="40"/>
        <v>2.6</v>
      </c>
      <c r="AA356" s="48" t="str">
        <f t="shared" si="41"/>
        <v>-</v>
      </c>
      <c r="AB356" s="48" t="str">
        <f t="shared" si="42"/>
        <v>-</v>
      </c>
      <c r="AC356" s="48" t="str">
        <f t="shared" si="43"/>
        <v>-</v>
      </c>
      <c r="AD356" s="48" t="str">
        <f t="shared" si="44"/>
        <v>-</v>
      </c>
      <c r="AE356" s="48" t="str">
        <f t="shared" si="45"/>
        <v>-</v>
      </c>
      <c r="AF356" s="48" t="str">
        <f t="shared" si="46"/>
        <v>-</v>
      </c>
      <c r="AG356" s="48" t="str">
        <f t="shared" si="47"/>
        <v>-</v>
      </c>
    </row>
    <row r="357" spans="1:33" ht="15" thickBot="1" x14ac:dyDescent="0.35">
      <c r="A357" s="574"/>
      <c r="B357" s="346" t="s">
        <v>569</v>
      </c>
      <c r="C357" s="347">
        <v>118</v>
      </c>
      <c r="D357" s="335"/>
      <c r="E357" s="348">
        <v>0.8</v>
      </c>
      <c r="F357" s="349">
        <v>0.6</v>
      </c>
      <c r="G357" s="349">
        <v>0.3</v>
      </c>
      <c r="H357" s="348">
        <v>0.8</v>
      </c>
      <c r="I357" s="347" t="s">
        <v>578</v>
      </c>
      <c r="J357" s="350"/>
      <c r="K357" s="336"/>
      <c r="L357" s="336"/>
      <c r="M357" s="336"/>
      <c r="N357" s="336"/>
      <c r="O357" s="336"/>
      <c r="P357" s="336"/>
      <c r="Q357" s="336"/>
      <c r="R357" s="336"/>
      <c r="S357" s="336"/>
      <c r="T357" s="336"/>
      <c r="U357" s="351"/>
      <c r="V357" s="352" t="s">
        <v>379</v>
      </c>
      <c r="W357" s="323"/>
      <c r="X357" s="324">
        <v>2.62</v>
      </c>
      <c r="Z357" s="48">
        <f t="shared" si="40"/>
        <v>2.62</v>
      </c>
      <c r="AA357" s="48" t="str">
        <f t="shared" si="41"/>
        <v>-</v>
      </c>
      <c r="AB357" s="48" t="str">
        <f t="shared" si="42"/>
        <v>-</v>
      </c>
      <c r="AC357" s="48" t="str">
        <f t="shared" si="43"/>
        <v>-</v>
      </c>
      <c r="AD357" s="48" t="str">
        <f t="shared" si="44"/>
        <v>-</v>
      </c>
      <c r="AE357" s="48" t="str">
        <f t="shared" si="45"/>
        <v>-</v>
      </c>
      <c r="AF357" s="48" t="str">
        <f t="shared" si="46"/>
        <v>-</v>
      </c>
      <c r="AG357" s="48" t="str">
        <f t="shared" si="47"/>
        <v>-</v>
      </c>
    </row>
    <row r="358" spans="1:33" ht="15" thickBot="1" x14ac:dyDescent="0.35">
      <c r="A358" s="574"/>
      <c r="B358" s="346" t="s">
        <v>569</v>
      </c>
      <c r="C358" s="347">
        <v>124</v>
      </c>
      <c r="D358" s="335"/>
      <c r="E358" s="348">
        <v>0.8</v>
      </c>
      <c r="F358" s="349">
        <v>0.6</v>
      </c>
      <c r="G358" s="349">
        <v>0.3</v>
      </c>
      <c r="H358" s="348">
        <v>0.8</v>
      </c>
      <c r="I358" s="347" t="s">
        <v>578</v>
      </c>
      <c r="J358" s="350"/>
      <c r="K358" s="336"/>
      <c r="L358" s="336"/>
      <c r="M358" s="336"/>
      <c r="N358" s="336"/>
      <c r="O358" s="336"/>
      <c r="P358" s="336"/>
      <c r="Q358" s="336"/>
      <c r="R358" s="336"/>
      <c r="S358" s="336"/>
      <c r="T358" s="336"/>
      <c r="U358" s="351"/>
      <c r="V358" s="352" t="s">
        <v>379</v>
      </c>
      <c r="W358" s="323">
        <v>1</v>
      </c>
      <c r="X358" s="324">
        <v>2.62</v>
      </c>
      <c r="Z358" s="48">
        <f t="shared" si="40"/>
        <v>2.62</v>
      </c>
      <c r="AA358" s="48" t="str">
        <f t="shared" si="41"/>
        <v>-</v>
      </c>
      <c r="AB358" s="48" t="str">
        <f t="shared" si="42"/>
        <v>-</v>
      </c>
      <c r="AC358" s="48" t="str">
        <f t="shared" si="43"/>
        <v>-</v>
      </c>
      <c r="AD358" s="48" t="str">
        <f t="shared" si="44"/>
        <v>-</v>
      </c>
      <c r="AE358" s="48" t="str">
        <f t="shared" si="45"/>
        <v>-</v>
      </c>
      <c r="AF358" s="48" t="str">
        <f t="shared" si="46"/>
        <v>-</v>
      </c>
      <c r="AG358" s="48" t="str">
        <f t="shared" si="47"/>
        <v>-</v>
      </c>
    </row>
    <row r="359" spans="1:33" ht="15" thickBot="1" x14ac:dyDescent="0.35">
      <c r="A359" s="574"/>
      <c r="B359" s="346" t="s">
        <v>569</v>
      </c>
      <c r="C359" s="347">
        <v>130</v>
      </c>
      <c r="D359" s="335"/>
      <c r="E359" s="348">
        <v>0.8</v>
      </c>
      <c r="F359" s="349">
        <v>0.6</v>
      </c>
      <c r="G359" s="349">
        <v>0.3</v>
      </c>
      <c r="H359" s="348">
        <v>0.8</v>
      </c>
      <c r="I359" s="347" t="s">
        <v>578</v>
      </c>
      <c r="J359" s="350"/>
      <c r="K359" s="336"/>
      <c r="L359" s="336"/>
      <c r="M359" s="336"/>
      <c r="N359" s="336"/>
      <c r="O359" s="336"/>
      <c r="P359" s="336"/>
      <c r="Q359" s="336"/>
      <c r="R359" s="336"/>
      <c r="S359" s="336"/>
      <c r="T359" s="336"/>
      <c r="U359" s="351"/>
      <c r="V359" s="352" t="s">
        <v>379</v>
      </c>
      <c r="W359" s="323">
        <v>1</v>
      </c>
      <c r="X359" s="324">
        <v>2.72</v>
      </c>
      <c r="Z359" s="48">
        <f t="shared" si="40"/>
        <v>2.72</v>
      </c>
      <c r="AA359" s="48" t="str">
        <f t="shared" si="41"/>
        <v>-</v>
      </c>
      <c r="AB359" s="48" t="str">
        <f t="shared" si="42"/>
        <v>-</v>
      </c>
      <c r="AC359" s="48" t="str">
        <f t="shared" si="43"/>
        <v>-</v>
      </c>
      <c r="AD359" s="48" t="str">
        <f t="shared" si="44"/>
        <v>-</v>
      </c>
      <c r="AE359" s="48" t="str">
        <f t="shared" si="45"/>
        <v>-</v>
      </c>
      <c r="AF359" s="48" t="str">
        <f t="shared" si="46"/>
        <v>-</v>
      </c>
      <c r="AG359" s="48" t="str">
        <f t="shared" si="47"/>
        <v>-</v>
      </c>
    </row>
    <row r="360" spans="1:33" ht="15" thickBot="1" x14ac:dyDescent="0.35">
      <c r="A360" s="574"/>
      <c r="B360" s="346" t="s">
        <v>569</v>
      </c>
      <c r="C360" s="347">
        <v>136</v>
      </c>
      <c r="D360" s="335"/>
      <c r="E360" s="348">
        <v>0.8</v>
      </c>
      <c r="F360" s="349">
        <v>0.6</v>
      </c>
      <c r="G360" s="349">
        <v>0.3</v>
      </c>
      <c r="H360" s="348">
        <v>0.8</v>
      </c>
      <c r="I360" s="347" t="s">
        <v>578</v>
      </c>
      <c r="J360" s="350"/>
      <c r="K360" s="336"/>
      <c r="L360" s="336"/>
      <c r="M360" s="336"/>
      <c r="N360" s="336"/>
      <c r="O360" s="336"/>
      <c r="P360" s="336"/>
      <c r="Q360" s="336"/>
      <c r="R360" s="336"/>
      <c r="S360" s="336"/>
      <c r="T360" s="336"/>
      <c r="U360" s="351"/>
      <c r="V360" s="352" t="s">
        <v>379</v>
      </c>
      <c r="W360" s="323">
        <v>1</v>
      </c>
      <c r="X360" s="324">
        <v>2.79</v>
      </c>
      <c r="Z360" s="48">
        <f t="shared" si="40"/>
        <v>2.79</v>
      </c>
      <c r="AA360" s="48" t="str">
        <f t="shared" si="41"/>
        <v>-</v>
      </c>
      <c r="AB360" s="48" t="str">
        <f t="shared" si="42"/>
        <v>-</v>
      </c>
      <c r="AC360" s="48" t="str">
        <f t="shared" si="43"/>
        <v>-</v>
      </c>
      <c r="AD360" s="48" t="str">
        <f t="shared" si="44"/>
        <v>-</v>
      </c>
      <c r="AE360" s="48" t="str">
        <f t="shared" si="45"/>
        <v>-</v>
      </c>
      <c r="AF360" s="48" t="str">
        <f t="shared" si="46"/>
        <v>-</v>
      </c>
      <c r="AG360" s="48" t="str">
        <f t="shared" si="47"/>
        <v>-</v>
      </c>
    </row>
    <row r="361" spans="1:33" ht="15" thickBot="1" x14ac:dyDescent="0.35">
      <c r="A361" s="574"/>
      <c r="B361" s="346" t="s">
        <v>569</v>
      </c>
      <c r="C361" s="347">
        <v>140</v>
      </c>
      <c r="D361" s="335"/>
      <c r="E361" s="348">
        <v>0.8</v>
      </c>
      <c r="F361" s="349">
        <v>0.6</v>
      </c>
      <c r="G361" s="349">
        <v>0.3</v>
      </c>
      <c r="H361" s="348">
        <v>0.8</v>
      </c>
      <c r="I361" s="347" t="s">
        <v>578</v>
      </c>
      <c r="J361" s="350"/>
      <c r="K361" s="336"/>
      <c r="L361" s="336"/>
      <c r="M361" s="336"/>
      <c r="N361" s="336"/>
      <c r="O361" s="336"/>
      <c r="P361" s="336"/>
      <c r="Q361" s="336"/>
      <c r="R361" s="336"/>
      <c r="S361" s="336"/>
      <c r="T361" s="336"/>
      <c r="U361" s="351"/>
      <c r="V361" s="352" t="s">
        <v>379</v>
      </c>
      <c r="W361" s="323">
        <v>1</v>
      </c>
      <c r="X361" s="324">
        <v>2.86</v>
      </c>
      <c r="Z361" s="48">
        <f t="shared" si="40"/>
        <v>2.86</v>
      </c>
      <c r="AA361" s="48" t="str">
        <f t="shared" si="41"/>
        <v>-</v>
      </c>
      <c r="AB361" s="48" t="str">
        <f t="shared" si="42"/>
        <v>-</v>
      </c>
      <c r="AC361" s="48" t="str">
        <f t="shared" si="43"/>
        <v>-</v>
      </c>
      <c r="AD361" s="48" t="str">
        <f t="shared" si="44"/>
        <v>-</v>
      </c>
      <c r="AE361" s="48" t="str">
        <f t="shared" si="45"/>
        <v>-</v>
      </c>
      <c r="AF361" s="48" t="str">
        <f t="shared" si="46"/>
        <v>-</v>
      </c>
      <c r="AG361" s="48" t="str">
        <f t="shared" si="47"/>
        <v>-</v>
      </c>
    </row>
    <row r="362" spans="1:33" ht="15" thickBot="1" x14ac:dyDescent="0.35">
      <c r="A362" s="574"/>
      <c r="B362" s="346" t="s">
        <v>569</v>
      </c>
      <c r="C362" s="347">
        <v>142</v>
      </c>
      <c r="D362" s="335"/>
      <c r="E362" s="348">
        <v>0.8</v>
      </c>
      <c r="F362" s="349">
        <v>0.6</v>
      </c>
      <c r="G362" s="349">
        <v>0.3</v>
      </c>
      <c r="H362" s="348">
        <v>0.8</v>
      </c>
      <c r="I362" s="347" t="s">
        <v>578</v>
      </c>
      <c r="J362" s="350"/>
      <c r="K362" s="336"/>
      <c r="L362" s="336"/>
      <c r="M362" s="336"/>
      <c r="N362" s="336"/>
      <c r="O362" s="336"/>
      <c r="P362" s="336"/>
      <c r="Q362" s="336"/>
      <c r="R362" s="336"/>
      <c r="S362" s="336"/>
      <c r="T362" s="336"/>
      <c r="U362" s="351"/>
      <c r="V362" s="352" t="s">
        <v>379</v>
      </c>
      <c r="W362" s="323">
        <v>1</v>
      </c>
      <c r="X362" s="324">
        <v>2.95</v>
      </c>
      <c r="Z362" s="48">
        <f t="shared" si="40"/>
        <v>2.95</v>
      </c>
      <c r="AA362" s="48" t="str">
        <f t="shared" si="41"/>
        <v>-</v>
      </c>
      <c r="AB362" s="48" t="str">
        <f t="shared" si="42"/>
        <v>-</v>
      </c>
      <c r="AC362" s="48" t="str">
        <f t="shared" si="43"/>
        <v>-</v>
      </c>
      <c r="AD362" s="48" t="str">
        <f t="shared" si="44"/>
        <v>-</v>
      </c>
      <c r="AE362" s="48" t="str">
        <f t="shared" si="45"/>
        <v>-</v>
      </c>
      <c r="AF362" s="48" t="str">
        <f t="shared" si="46"/>
        <v>-</v>
      </c>
      <c r="AG362" s="48" t="str">
        <f t="shared" si="47"/>
        <v>-</v>
      </c>
    </row>
    <row r="363" spans="1:33" ht="15" thickBot="1" x14ac:dyDescent="0.35">
      <c r="A363" s="574"/>
      <c r="B363" s="346" t="s">
        <v>569</v>
      </c>
      <c r="C363" s="347">
        <v>148</v>
      </c>
      <c r="D363" s="335"/>
      <c r="E363" s="348">
        <v>0.8</v>
      </c>
      <c r="F363" s="349">
        <v>0.6</v>
      </c>
      <c r="G363" s="349">
        <v>0.3</v>
      </c>
      <c r="H363" s="348">
        <v>0.8</v>
      </c>
      <c r="I363" s="347" t="s">
        <v>578</v>
      </c>
      <c r="J363" s="388"/>
      <c r="K363" s="336"/>
      <c r="L363" s="336"/>
      <c r="M363" s="336"/>
      <c r="N363" s="336"/>
      <c r="O363" s="336"/>
      <c r="P363" s="336"/>
      <c r="Q363" s="336"/>
      <c r="R363" s="336"/>
      <c r="S363" s="336"/>
      <c r="T363" s="336"/>
      <c r="U363" s="351"/>
      <c r="V363" s="352" t="s">
        <v>379</v>
      </c>
      <c r="W363" s="323">
        <v>1</v>
      </c>
      <c r="X363" s="324">
        <v>3.01</v>
      </c>
      <c r="Z363" s="48">
        <f t="shared" si="40"/>
        <v>3.01</v>
      </c>
      <c r="AA363" s="48" t="str">
        <f t="shared" si="41"/>
        <v>-</v>
      </c>
      <c r="AB363" s="48" t="str">
        <f t="shared" si="42"/>
        <v>-</v>
      </c>
      <c r="AC363" s="48" t="str">
        <f t="shared" si="43"/>
        <v>-</v>
      </c>
      <c r="AD363" s="48" t="str">
        <f t="shared" si="44"/>
        <v>-</v>
      </c>
      <c r="AE363" s="48" t="str">
        <f t="shared" si="45"/>
        <v>-</v>
      </c>
      <c r="AF363" s="48" t="str">
        <f t="shared" si="46"/>
        <v>-</v>
      </c>
      <c r="AG363" s="48" t="str">
        <f t="shared" si="47"/>
        <v>-</v>
      </c>
    </row>
    <row r="364" spans="1:33" ht="15" thickBot="1" x14ac:dyDescent="0.35">
      <c r="A364" s="574"/>
      <c r="B364" s="346" t="s">
        <v>569</v>
      </c>
      <c r="C364" s="347">
        <v>215</v>
      </c>
      <c r="D364" s="335"/>
      <c r="E364" s="348">
        <v>0.8</v>
      </c>
      <c r="F364" s="349">
        <v>0.6</v>
      </c>
      <c r="G364" s="349">
        <v>0.3</v>
      </c>
      <c r="H364" s="348">
        <v>0.8</v>
      </c>
      <c r="I364" s="347" t="s">
        <v>578</v>
      </c>
      <c r="J364" s="350"/>
      <c r="K364" s="336"/>
      <c r="L364" s="336"/>
      <c r="M364" s="336"/>
      <c r="N364" s="336"/>
      <c r="O364" s="336"/>
      <c r="P364" s="336"/>
      <c r="Q364" s="336"/>
      <c r="R364" s="336"/>
      <c r="S364" s="336"/>
      <c r="T364" s="336"/>
      <c r="U364" s="351"/>
      <c r="V364" s="352" t="s">
        <v>379</v>
      </c>
      <c r="W364" s="323">
        <v>1</v>
      </c>
      <c r="X364" s="324">
        <v>4.5</v>
      </c>
      <c r="Z364" s="48">
        <f t="shared" si="40"/>
        <v>4.5</v>
      </c>
      <c r="AA364" s="48" t="str">
        <f t="shared" si="41"/>
        <v>-</v>
      </c>
      <c r="AB364" s="48" t="str">
        <f t="shared" si="42"/>
        <v>-</v>
      </c>
      <c r="AC364" s="48" t="str">
        <f t="shared" si="43"/>
        <v>-</v>
      </c>
      <c r="AD364" s="48" t="str">
        <f t="shared" si="44"/>
        <v>-</v>
      </c>
      <c r="AE364" s="48" t="str">
        <f t="shared" si="45"/>
        <v>-</v>
      </c>
      <c r="AF364" s="48" t="str">
        <f t="shared" si="46"/>
        <v>-</v>
      </c>
      <c r="AG364" s="48" t="str">
        <f t="shared" si="47"/>
        <v>-</v>
      </c>
    </row>
    <row r="365" spans="1:33" ht="15" thickBot="1" x14ac:dyDescent="0.35">
      <c r="A365" s="574"/>
      <c r="B365" s="346" t="s">
        <v>566</v>
      </c>
      <c r="C365" s="347">
        <v>290</v>
      </c>
      <c r="D365" s="335"/>
      <c r="E365" s="348">
        <v>0.8</v>
      </c>
      <c r="F365" s="349">
        <v>0.6</v>
      </c>
      <c r="G365" s="349">
        <v>0.3</v>
      </c>
      <c r="H365" s="348">
        <v>0.8</v>
      </c>
      <c r="I365" s="347" t="s">
        <v>578</v>
      </c>
      <c r="J365" s="350"/>
      <c r="K365" s="336"/>
      <c r="L365" s="336"/>
      <c r="M365" s="336"/>
      <c r="N365" s="336"/>
      <c r="O365" s="336"/>
      <c r="P365" s="336"/>
      <c r="Q365" s="336"/>
      <c r="R365" s="336"/>
      <c r="S365" s="336"/>
      <c r="T365" s="336"/>
      <c r="U365" s="351"/>
      <c r="V365" s="352" t="s">
        <v>379</v>
      </c>
      <c r="W365" s="323"/>
      <c r="X365" s="324">
        <v>4.67</v>
      </c>
      <c r="Z365" s="48">
        <f t="shared" si="40"/>
        <v>4.67</v>
      </c>
      <c r="AA365" s="48" t="str">
        <f t="shared" si="41"/>
        <v>-</v>
      </c>
      <c r="AB365" s="48" t="str">
        <f t="shared" si="42"/>
        <v>-</v>
      </c>
      <c r="AC365" s="48" t="str">
        <f t="shared" si="43"/>
        <v>-</v>
      </c>
      <c r="AD365" s="48" t="str">
        <f t="shared" si="44"/>
        <v>-</v>
      </c>
      <c r="AE365" s="48" t="str">
        <f t="shared" si="45"/>
        <v>-</v>
      </c>
      <c r="AF365" s="48" t="str">
        <f t="shared" si="46"/>
        <v>-</v>
      </c>
      <c r="AG365" s="48" t="str">
        <f t="shared" si="47"/>
        <v>-</v>
      </c>
    </row>
    <row r="366" spans="1:33" ht="15" thickBot="1" x14ac:dyDescent="0.35">
      <c r="A366" s="575"/>
      <c r="B366" s="367" t="s">
        <v>566</v>
      </c>
      <c r="C366" s="368">
        <v>298</v>
      </c>
      <c r="D366" s="335"/>
      <c r="E366" s="369">
        <v>0.8</v>
      </c>
      <c r="F366" s="370">
        <v>0.6</v>
      </c>
      <c r="G366" s="370">
        <v>0.3</v>
      </c>
      <c r="H366" s="369">
        <v>0.8</v>
      </c>
      <c r="I366" s="368" t="s">
        <v>578</v>
      </c>
      <c r="J366" s="371"/>
      <c r="K366" s="336"/>
      <c r="L366" s="336"/>
      <c r="M366" s="336"/>
      <c r="N366" s="336"/>
      <c r="O366" s="336"/>
      <c r="P366" s="336"/>
      <c r="Q366" s="336"/>
      <c r="R366" s="336"/>
      <c r="S366" s="336"/>
      <c r="T366" s="336"/>
      <c r="U366" s="351"/>
      <c r="V366" s="352" t="s">
        <v>379</v>
      </c>
      <c r="W366" s="329"/>
      <c r="X366" s="330">
        <v>4.91</v>
      </c>
      <c r="Z366" s="48">
        <f t="shared" si="40"/>
        <v>4.91</v>
      </c>
      <c r="AA366" s="48" t="str">
        <f t="shared" si="41"/>
        <v>-</v>
      </c>
      <c r="AB366" s="48" t="str">
        <f t="shared" si="42"/>
        <v>-</v>
      </c>
      <c r="AC366" s="48" t="str">
        <f t="shared" si="43"/>
        <v>-</v>
      </c>
      <c r="AD366" s="48" t="str">
        <f t="shared" si="44"/>
        <v>-</v>
      </c>
      <c r="AE366" s="48" t="str">
        <f t="shared" si="45"/>
        <v>-</v>
      </c>
      <c r="AF366" s="48" t="str">
        <f t="shared" si="46"/>
        <v>-</v>
      </c>
      <c r="AG366" s="48" t="str">
        <f t="shared" si="47"/>
        <v>-</v>
      </c>
    </row>
    <row r="367" spans="1:33" ht="15" thickBot="1" x14ac:dyDescent="0.35">
      <c r="A367" s="576" t="s">
        <v>385</v>
      </c>
      <c r="B367" s="337" t="s">
        <v>565</v>
      </c>
      <c r="C367" s="338">
        <v>206</v>
      </c>
      <c r="D367" s="339"/>
      <c r="E367" s="340">
        <v>0.8</v>
      </c>
      <c r="F367" s="341">
        <v>0.6</v>
      </c>
      <c r="G367" s="341">
        <v>0.3</v>
      </c>
      <c r="H367" s="340">
        <v>0.8</v>
      </c>
      <c r="I367" s="338" t="s">
        <v>578</v>
      </c>
      <c r="J367" s="389"/>
      <c r="K367" s="343"/>
      <c r="L367" s="343"/>
      <c r="M367" s="343"/>
      <c r="N367" s="343"/>
      <c r="O367" s="343"/>
      <c r="P367" s="343"/>
      <c r="Q367" s="343"/>
      <c r="R367" s="343"/>
      <c r="S367" s="343"/>
      <c r="T367" s="343"/>
      <c r="U367" s="344"/>
      <c r="V367" s="345" t="s">
        <v>379</v>
      </c>
      <c r="W367" s="321">
        <v>1</v>
      </c>
      <c r="X367" s="322">
        <v>1.1399999999999999</v>
      </c>
      <c r="Z367" s="48">
        <f t="shared" si="40"/>
        <v>1.1399999999999999</v>
      </c>
      <c r="AA367" s="48" t="str">
        <f t="shared" si="41"/>
        <v>-</v>
      </c>
      <c r="AB367" s="48" t="str">
        <f t="shared" si="42"/>
        <v>-</v>
      </c>
      <c r="AC367" s="48" t="str">
        <f t="shared" si="43"/>
        <v>-</v>
      </c>
      <c r="AD367" s="48" t="str">
        <f t="shared" si="44"/>
        <v>-</v>
      </c>
      <c r="AE367" s="48" t="str">
        <f t="shared" si="45"/>
        <v>-</v>
      </c>
      <c r="AF367" s="48" t="str">
        <f t="shared" si="46"/>
        <v>-</v>
      </c>
      <c r="AG367" s="48" t="str">
        <f t="shared" si="47"/>
        <v>-</v>
      </c>
    </row>
    <row r="368" spans="1:33" ht="15" thickBot="1" x14ac:dyDescent="0.35">
      <c r="A368" s="574"/>
      <c r="B368" s="346" t="s">
        <v>565</v>
      </c>
      <c r="C368" s="347">
        <v>161</v>
      </c>
      <c r="D368" s="335"/>
      <c r="E368" s="348">
        <v>0.8</v>
      </c>
      <c r="F368" s="349">
        <v>0.6</v>
      </c>
      <c r="G368" s="349">
        <v>0.3</v>
      </c>
      <c r="H368" s="348">
        <v>0.8</v>
      </c>
      <c r="I368" s="347" t="s">
        <v>578</v>
      </c>
      <c r="J368" s="350"/>
      <c r="K368" s="336"/>
      <c r="L368" s="336"/>
      <c r="M368" s="336"/>
      <c r="N368" s="336"/>
      <c r="O368" s="336"/>
      <c r="P368" s="336"/>
      <c r="Q368" s="336"/>
      <c r="R368" s="336"/>
      <c r="S368" s="336"/>
      <c r="T368" s="336"/>
      <c r="U368" s="351"/>
      <c r="V368" s="352" t="s">
        <v>379</v>
      </c>
      <c r="W368" s="323">
        <v>1</v>
      </c>
      <c r="X368" s="324">
        <v>0.95</v>
      </c>
      <c r="Z368" s="48">
        <f t="shared" si="40"/>
        <v>0.95</v>
      </c>
      <c r="AA368" s="48" t="str">
        <f t="shared" si="41"/>
        <v>-</v>
      </c>
      <c r="AB368" s="48" t="str">
        <f t="shared" si="42"/>
        <v>-</v>
      </c>
      <c r="AC368" s="48" t="str">
        <f t="shared" si="43"/>
        <v>-</v>
      </c>
      <c r="AD368" s="48" t="str">
        <f t="shared" si="44"/>
        <v>-</v>
      </c>
      <c r="AE368" s="48" t="str">
        <f t="shared" si="45"/>
        <v>-</v>
      </c>
      <c r="AF368" s="48" t="str">
        <f t="shared" si="46"/>
        <v>-</v>
      </c>
      <c r="AG368" s="48" t="str">
        <f t="shared" si="47"/>
        <v>-</v>
      </c>
    </row>
    <row r="369" spans="1:33" ht="15" thickBot="1" x14ac:dyDescent="0.35">
      <c r="A369" s="574"/>
      <c r="B369" s="346" t="s">
        <v>565</v>
      </c>
      <c r="C369" s="347">
        <v>165</v>
      </c>
      <c r="D369" s="335"/>
      <c r="E369" s="348">
        <v>0.8</v>
      </c>
      <c r="F369" s="349">
        <v>0.6</v>
      </c>
      <c r="G369" s="349">
        <v>0.3</v>
      </c>
      <c r="H369" s="348">
        <v>0.8</v>
      </c>
      <c r="I369" s="347" t="s">
        <v>578</v>
      </c>
      <c r="J369" s="388"/>
      <c r="K369" s="336"/>
      <c r="L369" s="336"/>
      <c r="M369" s="336"/>
      <c r="N369" s="336"/>
      <c r="O369" s="336"/>
      <c r="P369" s="336"/>
      <c r="Q369" s="336"/>
      <c r="R369" s="336"/>
      <c r="S369" s="336"/>
      <c r="T369" s="336"/>
      <c r="U369" s="351"/>
      <c r="V369" s="352" t="s">
        <v>379</v>
      </c>
      <c r="W369" s="323">
        <v>1</v>
      </c>
      <c r="X369" s="324">
        <v>0.95</v>
      </c>
      <c r="Z369" s="48">
        <f t="shared" si="40"/>
        <v>0.95</v>
      </c>
      <c r="AA369" s="48" t="str">
        <f t="shared" si="41"/>
        <v>-</v>
      </c>
      <c r="AB369" s="48" t="str">
        <f t="shared" si="42"/>
        <v>-</v>
      </c>
      <c r="AC369" s="48" t="str">
        <f t="shared" si="43"/>
        <v>-</v>
      </c>
      <c r="AD369" s="48" t="str">
        <f t="shared" si="44"/>
        <v>-</v>
      </c>
      <c r="AE369" s="48" t="str">
        <f t="shared" si="45"/>
        <v>-</v>
      </c>
      <c r="AF369" s="48" t="str">
        <f t="shared" si="46"/>
        <v>-</v>
      </c>
      <c r="AG369" s="48" t="str">
        <f t="shared" si="47"/>
        <v>-</v>
      </c>
    </row>
    <row r="370" spans="1:33" ht="15" thickBot="1" x14ac:dyDescent="0.35">
      <c r="A370" s="574"/>
      <c r="B370" s="346" t="s">
        <v>565</v>
      </c>
      <c r="C370" s="347">
        <v>173</v>
      </c>
      <c r="D370" s="335"/>
      <c r="E370" s="348">
        <v>0.8</v>
      </c>
      <c r="F370" s="349">
        <v>0.6</v>
      </c>
      <c r="G370" s="349">
        <v>0.3</v>
      </c>
      <c r="H370" s="348">
        <v>0.8</v>
      </c>
      <c r="I370" s="347" t="s">
        <v>578</v>
      </c>
      <c r="J370" s="350"/>
      <c r="K370" s="336"/>
      <c r="L370" s="336"/>
      <c r="M370" s="336"/>
      <c r="N370" s="336"/>
      <c r="O370" s="336"/>
      <c r="P370" s="336"/>
      <c r="Q370" s="336"/>
      <c r="R370" s="336"/>
      <c r="S370" s="336"/>
      <c r="T370" s="336"/>
      <c r="U370" s="351"/>
      <c r="V370" s="352" t="s">
        <v>379</v>
      </c>
      <c r="W370" s="323">
        <v>1</v>
      </c>
      <c r="X370" s="324">
        <v>1.02</v>
      </c>
      <c r="Z370" s="48">
        <f t="shared" si="40"/>
        <v>1.02</v>
      </c>
      <c r="AA370" s="48" t="str">
        <f t="shared" si="41"/>
        <v>-</v>
      </c>
      <c r="AB370" s="48" t="str">
        <f t="shared" si="42"/>
        <v>-</v>
      </c>
      <c r="AC370" s="48" t="str">
        <f t="shared" si="43"/>
        <v>-</v>
      </c>
      <c r="AD370" s="48" t="str">
        <f t="shared" si="44"/>
        <v>-</v>
      </c>
      <c r="AE370" s="48" t="str">
        <f t="shared" si="45"/>
        <v>-</v>
      </c>
      <c r="AF370" s="48" t="str">
        <f t="shared" si="46"/>
        <v>-</v>
      </c>
      <c r="AG370" s="48" t="str">
        <f t="shared" si="47"/>
        <v>-</v>
      </c>
    </row>
    <row r="371" spans="1:33" ht="15" thickBot="1" x14ac:dyDescent="0.35">
      <c r="A371" s="574"/>
      <c r="B371" s="346" t="s">
        <v>565</v>
      </c>
      <c r="C371" s="347">
        <v>179</v>
      </c>
      <c r="D371" s="335"/>
      <c r="E371" s="348">
        <v>0.8</v>
      </c>
      <c r="F371" s="349">
        <v>0.6</v>
      </c>
      <c r="G371" s="349">
        <v>0.3</v>
      </c>
      <c r="H371" s="348">
        <v>0.8</v>
      </c>
      <c r="I371" s="347" t="s">
        <v>578</v>
      </c>
      <c r="J371" s="350"/>
      <c r="K371" s="336"/>
      <c r="L371" s="336"/>
      <c r="M371" s="336"/>
      <c r="N371" s="336"/>
      <c r="O371" s="336"/>
      <c r="P371" s="336"/>
      <c r="Q371" s="336"/>
      <c r="R371" s="336"/>
      <c r="S371" s="336"/>
      <c r="T371" s="336"/>
      <c r="U371" s="351"/>
      <c r="V371" s="352" t="s">
        <v>379</v>
      </c>
      <c r="W371" s="323">
        <v>1</v>
      </c>
      <c r="X371" s="324">
        <v>1.02</v>
      </c>
      <c r="Z371" s="48">
        <f t="shared" si="40"/>
        <v>1.02</v>
      </c>
      <c r="AA371" s="48" t="str">
        <f t="shared" si="41"/>
        <v>-</v>
      </c>
      <c r="AB371" s="48" t="str">
        <f t="shared" si="42"/>
        <v>-</v>
      </c>
      <c r="AC371" s="48" t="str">
        <f t="shared" si="43"/>
        <v>-</v>
      </c>
      <c r="AD371" s="48" t="str">
        <f t="shared" si="44"/>
        <v>-</v>
      </c>
      <c r="AE371" s="48" t="str">
        <f t="shared" si="45"/>
        <v>-</v>
      </c>
      <c r="AF371" s="48" t="str">
        <f t="shared" si="46"/>
        <v>-</v>
      </c>
      <c r="AG371" s="48" t="str">
        <f t="shared" si="47"/>
        <v>-</v>
      </c>
    </row>
    <row r="372" spans="1:33" ht="15" thickBot="1" x14ac:dyDescent="0.35">
      <c r="A372" s="574"/>
      <c r="B372" s="346" t="s">
        <v>565</v>
      </c>
      <c r="C372" s="347">
        <v>185</v>
      </c>
      <c r="D372" s="335"/>
      <c r="E372" s="348">
        <v>0.8</v>
      </c>
      <c r="F372" s="349">
        <v>0.6</v>
      </c>
      <c r="G372" s="349">
        <v>0.3</v>
      </c>
      <c r="H372" s="348">
        <v>0.8</v>
      </c>
      <c r="I372" s="347" t="s">
        <v>578</v>
      </c>
      <c r="J372" s="350"/>
      <c r="K372" s="336"/>
      <c r="L372" s="336"/>
      <c r="M372" s="336"/>
      <c r="N372" s="336"/>
      <c r="O372" s="336"/>
      <c r="P372" s="336"/>
      <c r="Q372" s="336"/>
      <c r="R372" s="336"/>
      <c r="S372" s="336"/>
      <c r="T372" s="336"/>
      <c r="U372" s="351"/>
      <c r="V372" s="352" t="s">
        <v>379</v>
      </c>
      <c r="W372" s="323">
        <v>1</v>
      </c>
      <c r="X372" s="324">
        <v>1.02</v>
      </c>
      <c r="Z372" s="48">
        <f t="shared" si="40"/>
        <v>1.02</v>
      </c>
      <c r="AA372" s="48" t="str">
        <f t="shared" si="41"/>
        <v>-</v>
      </c>
      <c r="AB372" s="48" t="str">
        <f t="shared" si="42"/>
        <v>-</v>
      </c>
      <c r="AC372" s="48" t="str">
        <f t="shared" si="43"/>
        <v>-</v>
      </c>
      <c r="AD372" s="48" t="str">
        <f t="shared" si="44"/>
        <v>-</v>
      </c>
      <c r="AE372" s="48" t="str">
        <f t="shared" si="45"/>
        <v>-</v>
      </c>
      <c r="AF372" s="48" t="str">
        <f t="shared" si="46"/>
        <v>-</v>
      </c>
      <c r="AG372" s="48" t="str">
        <f t="shared" si="47"/>
        <v>-</v>
      </c>
    </row>
    <row r="373" spans="1:33" ht="15" thickBot="1" x14ac:dyDescent="0.35">
      <c r="A373" s="574"/>
      <c r="B373" s="346" t="s">
        <v>569</v>
      </c>
      <c r="C373" s="347">
        <v>216</v>
      </c>
      <c r="D373" s="335"/>
      <c r="E373" s="348">
        <v>0.8</v>
      </c>
      <c r="F373" s="349">
        <v>0.6</v>
      </c>
      <c r="G373" s="349">
        <v>0.3</v>
      </c>
      <c r="H373" s="348">
        <v>0.8</v>
      </c>
      <c r="I373" s="347" t="s">
        <v>578</v>
      </c>
      <c r="J373" s="350"/>
      <c r="K373" s="336"/>
      <c r="L373" s="336"/>
      <c r="M373" s="336"/>
      <c r="N373" s="336"/>
      <c r="O373" s="336"/>
      <c r="P373" s="336"/>
      <c r="Q373" s="336"/>
      <c r="R373" s="336"/>
      <c r="S373" s="336"/>
      <c r="T373" s="336"/>
      <c r="U373" s="351"/>
      <c r="V373" s="352" t="s">
        <v>379</v>
      </c>
      <c r="W373" s="323">
        <v>1</v>
      </c>
      <c r="X373" s="324">
        <v>0.94</v>
      </c>
      <c r="Z373" s="48">
        <f t="shared" si="40"/>
        <v>0.94</v>
      </c>
      <c r="AA373" s="48" t="str">
        <f t="shared" si="41"/>
        <v>-</v>
      </c>
      <c r="AB373" s="48" t="str">
        <f t="shared" si="42"/>
        <v>-</v>
      </c>
      <c r="AC373" s="48" t="str">
        <f t="shared" si="43"/>
        <v>-</v>
      </c>
      <c r="AD373" s="48" t="str">
        <f t="shared" si="44"/>
        <v>-</v>
      </c>
      <c r="AE373" s="48" t="str">
        <f t="shared" si="45"/>
        <v>-</v>
      </c>
      <c r="AF373" s="48" t="str">
        <f t="shared" si="46"/>
        <v>-</v>
      </c>
      <c r="AG373" s="48" t="str">
        <f t="shared" si="47"/>
        <v>-</v>
      </c>
    </row>
    <row r="374" spans="1:33" ht="15" thickBot="1" x14ac:dyDescent="0.35">
      <c r="A374" s="574"/>
      <c r="B374" s="346" t="s">
        <v>569</v>
      </c>
      <c r="C374" s="347">
        <v>166</v>
      </c>
      <c r="D374" s="335"/>
      <c r="E374" s="348">
        <v>0.8</v>
      </c>
      <c r="F374" s="349">
        <v>0.6</v>
      </c>
      <c r="G374" s="349">
        <v>0.3</v>
      </c>
      <c r="H374" s="348">
        <v>0.8</v>
      </c>
      <c r="I374" s="347" t="s">
        <v>578</v>
      </c>
      <c r="J374" s="388"/>
      <c r="K374" s="336"/>
      <c r="L374" s="336"/>
      <c r="M374" s="336"/>
      <c r="N374" s="336"/>
      <c r="O374" s="336"/>
      <c r="P374" s="336"/>
      <c r="Q374" s="336"/>
      <c r="R374" s="336"/>
      <c r="S374" s="336"/>
      <c r="T374" s="336"/>
      <c r="U374" s="351"/>
      <c r="V374" s="352" t="s">
        <v>379</v>
      </c>
      <c r="W374" s="323">
        <v>1</v>
      </c>
      <c r="X374" s="324">
        <v>0.91</v>
      </c>
      <c r="Z374" s="48">
        <f t="shared" si="40"/>
        <v>0.91</v>
      </c>
      <c r="AA374" s="48" t="str">
        <f t="shared" si="41"/>
        <v>-</v>
      </c>
      <c r="AB374" s="48" t="str">
        <f t="shared" si="42"/>
        <v>-</v>
      </c>
      <c r="AC374" s="48" t="str">
        <f t="shared" si="43"/>
        <v>-</v>
      </c>
      <c r="AD374" s="48" t="str">
        <f t="shared" si="44"/>
        <v>-</v>
      </c>
      <c r="AE374" s="48" t="str">
        <f t="shared" si="45"/>
        <v>-</v>
      </c>
      <c r="AF374" s="48" t="str">
        <f t="shared" si="46"/>
        <v>-</v>
      </c>
      <c r="AG374" s="48" t="str">
        <f t="shared" si="47"/>
        <v>-</v>
      </c>
    </row>
    <row r="375" spans="1:33" ht="15" thickBot="1" x14ac:dyDescent="0.35">
      <c r="A375" s="574"/>
      <c r="B375" s="346" t="s">
        <v>569</v>
      </c>
      <c r="C375" s="347">
        <v>172</v>
      </c>
      <c r="D375" s="335"/>
      <c r="E375" s="348">
        <v>0.8</v>
      </c>
      <c r="F375" s="349">
        <v>0.6</v>
      </c>
      <c r="G375" s="349">
        <v>0.3</v>
      </c>
      <c r="H375" s="348">
        <v>0.8</v>
      </c>
      <c r="I375" s="347" t="s">
        <v>578</v>
      </c>
      <c r="J375" s="350"/>
      <c r="K375" s="336"/>
      <c r="L375" s="336"/>
      <c r="M375" s="336"/>
      <c r="N375" s="336"/>
      <c r="O375" s="336"/>
      <c r="P375" s="336"/>
      <c r="Q375" s="336"/>
      <c r="R375" s="336"/>
      <c r="S375" s="336"/>
      <c r="T375" s="336"/>
      <c r="U375" s="351"/>
      <c r="V375" s="352" t="s">
        <v>379</v>
      </c>
      <c r="W375" s="323">
        <v>1</v>
      </c>
      <c r="X375" s="324">
        <v>0.84</v>
      </c>
      <c r="Z375" s="48">
        <f t="shared" si="40"/>
        <v>0.84</v>
      </c>
      <c r="AA375" s="48" t="str">
        <f t="shared" si="41"/>
        <v>-</v>
      </c>
      <c r="AB375" s="48" t="str">
        <f t="shared" si="42"/>
        <v>-</v>
      </c>
      <c r="AC375" s="48" t="str">
        <f t="shared" si="43"/>
        <v>-</v>
      </c>
      <c r="AD375" s="48" t="str">
        <f t="shared" si="44"/>
        <v>-</v>
      </c>
      <c r="AE375" s="48" t="str">
        <f t="shared" si="45"/>
        <v>-</v>
      </c>
      <c r="AF375" s="48" t="str">
        <f t="shared" si="46"/>
        <v>-</v>
      </c>
      <c r="AG375" s="48" t="str">
        <f t="shared" si="47"/>
        <v>-</v>
      </c>
    </row>
    <row r="376" spans="1:33" ht="15" thickBot="1" x14ac:dyDescent="0.35">
      <c r="A376" s="574"/>
      <c r="B376" s="346" t="s">
        <v>569</v>
      </c>
      <c r="C376" s="347">
        <v>178</v>
      </c>
      <c r="D376" s="335"/>
      <c r="E376" s="348">
        <v>0.8</v>
      </c>
      <c r="F376" s="349">
        <v>0.6</v>
      </c>
      <c r="G376" s="349">
        <v>0.3</v>
      </c>
      <c r="H376" s="348">
        <v>0.8</v>
      </c>
      <c r="I376" s="347" t="s">
        <v>578</v>
      </c>
      <c r="J376" s="350"/>
      <c r="K376" s="336"/>
      <c r="L376" s="336"/>
      <c r="M376" s="336"/>
      <c r="N376" s="336"/>
      <c r="O376" s="336"/>
      <c r="P376" s="336"/>
      <c r="Q376" s="336"/>
      <c r="R376" s="336"/>
      <c r="S376" s="336"/>
      <c r="T376" s="336"/>
      <c r="U376" s="351"/>
      <c r="V376" s="352" t="s">
        <v>379</v>
      </c>
      <c r="W376" s="323">
        <v>1</v>
      </c>
      <c r="X376" s="324">
        <v>0.72</v>
      </c>
      <c r="Z376" s="48">
        <f t="shared" si="40"/>
        <v>0.72</v>
      </c>
      <c r="AA376" s="48" t="str">
        <f t="shared" si="41"/>
        <v>-</v>
      </c>
      <c r="AB376" s="48" t="str">
        <f t="shared" si="42"/>
        <v>-</v>
      </c>
      <c r="AC376" s="48" t="str">
        <f t="shared" si="43"/>
        <v>-</v>
      </c>
      <c r="AD376" s="48" t="str">
        <f t="shared" si="44"/>
        <v>-</v>
      </c>
      <c r="AE376" s="48" t="str">
        <f t="shared" si="45"/>
        <v>-</v>
      </c>
      <c r="AF376" s="48" t="str">
        <f t="shared" si="46"/>
        <v>-</v>
      </c>
      <c r="AG376" s="48" t="str">
        <f t="shared" si="47"/>
        <v>-</v>
      </c>
    </row>
    <row r="377" spans="1:33" ht="15" thickBot="1" x14ac:dyDescent="0.35">
      <c r="A377" s="574"/>
      <c r="B377" s="346" t="s">
        <v>569</v>
      </c>
      <c r="C377" s="347">
        <v>184</v>
      </c>
      <c r="D377" s="335"/>
      <c r="E377" s="348">
        <v>0.8</v>
      </c>
      <c r="F377" s="349">
        <v>0.6</v>
      </c>
      <c r="G377" s="349">
        <v>0.3</v>
      </c>
      <c r="H377" s="348">
        <v>0.8</v>
      </c>
      <c r="I377" s="347" t="s">
        <v>578</v>
      </c>
      <c r="J377" s="350"/>
      <c r="K377" s="336"/>
      <c r="L377" s="336"/>
      <c r="M377" s="336"/>
      <c r="N377" s="336"/>
      <c r="O377" s="336"/>
      <c r="P377" s="336"/>
      <c r="Q377" s="336"/>
      <c r="R377" s="336"/>
      <c r="S377" s="336"/>
      <c r="T377" s="336"/>
      <c r="U377" s="351"/>
      <c r="V377" s="352" t="s">
        <v>379</v>
      </c>
      <c r="W377" s="323">
        <v>1</v>
      </c>
      <c r="X377" s="324">
        <v>0.56999999999999995</v>
      </c>
      <c r="Z377" s="48">
        <f t="shared" si="40"/>
        <v>0.56999999999999995</v>
      </c>
      <c r="AA377" s="48" t="str">
        <f t="shared" si="41"/>
        <v>-</v>
      </c>
      <c r="AB377" s="48" t="str">
        <f t="shared" si="42"/>
        <v>-</v>
      </c>
      <c r="AC377" s="48" t="str">
        <f t="shared" si="43"/>
        <v>-</v>
      </c>
      <c r="AD377" s="48" t="str">
        <f t="shared" si="44"/>
        <v>-</v>
      </c>
      <c r="AE377" s="48" t="str">
        <f t="shared" si="45"/>
        <v>-</v>
      </c>
      <c r="AF377" s="48" t="str">
        <f t="shared" si="46"/>
        <v>-</v>
      </c>
      <c r="AG377" s="48" t="str">
        <f t="shared" si="47"/>
        <v>-</v>
      </c>
    </row>
    <row r="378" spans="1:33" ht="15" thickBot="1" x14ac:dyDescent="0.35">
      <c r="A378" s="577"/>
      <c r="B378" s="353" t="s">
        <v>569</v>
      </c>
      <c r="C378" s="354">
        <v>190</v>
      </c>
      <c r="D378" s="355"/>
      <c r="E378" s="356">
        <v>0.8</v>
      </c>
      <c r="F378" s="357">
        <v>0.6</v>
      </c>
      <c r="G378" s="357">
        <v>0.3</v>
      </c>
      <c r="H378" s="356">
        <v>0.8</v>
      </c>
      <c r="I378" s="354" t="s">
        <v>578</v>
      </c>
      <c r="J378" s="358"/>
      <c r="K378" s="359"/>
      <c r="L378" s="359"/>
      <c r="M378" s="359"/>
      <c r="N378" s="359"/>
      <c r="O378" s="359"/>
      <c r="P378" s="359"/>
      <c r="Q378" s="359"/>
      <c r="R378" s="359"/>
      <c r="S378" s="359"/>
      <c r="T378" s="359"/>
      <c r="U378" s="360"/>
      <c r="V378" s="361" t="s">
        <v>379</v>
      </c>
      <c r="W378" s="325">
        <v>1</v>
      </c>
      <c r="X378" s="326">
        <v>0.56999999999999995</v>
      </c>
      <c r="Z378" s="48">
        <f t="shared" si="40"/>
        <v>0.56999999999999995</v>
      </c>
      <c r="AA378" s="48" t="str">
        <f t="shared" si="41"/>
        <v>-</v>
      </c>
      <c r="AB378" s="48" t="str">
        <f t="shared" si="42"/>
        <v>-</v>
      </c>
      <c r="AC378" s="48" t="str">
        <f t="shared" si="43"/>
        <v>-</v>
      </c>
      <c r="AD378" s="48" t="str">
        <f t="shared" si="44"/>
        <v>-</v>
      </c>
      <c r="AE378" s="48" t="str">
        <f t="shared" si="45"/>
        <v>-</v>
      </c>
      <c r="AF378" s="48" t="str">
        <f t="shared" si="46"/>
        <v>-</v>
      </c>
      <c r="AG378" s="48" t="str">
        <f t="shared" si="47"/>
        <v>-</v>
      </c>
    </row>
    <row r="379" spans="1:33" ht="15" thickBot="1" x14ac:dyDescent="0.35">
      <c r="A379" s="573" t="s">
        <v>127</v>
      </c>
      <c r="B379" s="362" t="s">
        <v>565</v>
      </c>
      <c r="C379" s="363">
        <v>191</v>
      </c>
      <c r="D379" s="335"/>
      <c r="E379" s="364">
        <v>0.8</v>
      </c>
      <c r="F379" s="365">
        <v>0.6</v>
      </c>
      <c r="G379" s="365">
        <v>0.3</v>
      </c>
      <c r="H379" s="364">
        <v>0.8</v>
      </c>
      <c r="I379" s="363" t="s">
        <v>578</v>
      </c>
      <c r="J379" s="390"/>
      <c r="K379" s="336"/>
      <c r="L379" s="336"/>
      <c r="M379" s="336"/>
      <c r="N379" s="336"/>
      <c r="O379" s="336"/>
      <c r="P379" s="336"/>
      <c r="Q379" s="336"/>
      <c r="R379" s="336"/>
      <c r="S379" s="336"/>
      <c r="T379" s="336"/>
      <c r="U379" s="351"/>
      <c r="V379" s="352" t="s">
        <v>379</v>
      </c>
      <c r="W379" s="327">
        <v>1</v>
      </c>
      <c r="X379" s="328">
        <v>0.37</v>
      </c>
      <c r="Z379" s="48">
        <f t="shared" si="40"/>
        <v>0.37</v>
      </c>
      <c r="AA379" s="48" t="str">
        <f t="shared" si="41"/>
        <v>-</v>
      </c>
      <c r="AB379" s="48" t="str">
        <f t="shared" si="42"/>
        <v>-</v>
      </c>
      <c r="AC379" s="48" t="str">
        <f t="shared" si="43"/>
        <v>-</v>
      </c>
      <c r="AD379" s="48" t="str">
        <f t="shared" si="44"/>
        <v>-</v>
      </c>
      <c r="AE379" s="48" t="str">
        <f t="shared" si="45"/>
        <v>-</v>
      </c>
      <c r="AF379" s="48" t="str">
        <f t="shared" si="46"/>
        <v>-</v>
      </c>
      <c r="AG379" s="48" t="str">
        <f t="shared" si="47"/>
        <v>-</v>
      </c>
    </row>
    <row r="380" spans="1:33" ht="15" thickBot="1" x14ac:dyDescent="0.35">
      <c r="A380" s="574"/>
      <c r="B380" s="346" t="s">
        <v>565</v>
      </c>
      <c r="C380" s="347">
        <v>197</v>
      </c>
      <c r="D380" s="335"/>
      <c r="E380" s="348">
        <v>0.8</v>
      </c>
      <c r="F380" s="349">
        <v>0.6</v>
      </c>
      <c r="G380" s="349">
        <v>0.3</v>
      </c>
      <c r="H380" s="348">
        <v>0.8</v>
      </c>
      <c r="I380" s="347" t="s">
        <v>578</v>
      </c>
      <c r="J380" s="350"/>
      <c r="K380" s="336"/>
      <c r="L380" s="336"/>
      <c r="M380" s="336"/>
      <c r="N380" s="336"/>
      <c r="O380" s="336"/>
      <c r="P380" s="336"/>
      <c r="Q380" s="336"/>
      <c r="R380" s="336"/>
      <c r="S380" s="336"/>
      <c r="T380" s="336"/>
      <c r="U380" s="351"/>
      <c r="V380" s="352" t="s">
        <v>379</v>
      </c>
      <c r="W380" s="323">
        <v>1</v>
      </c>
      <c r="X380" s="324">
        <v>0.37</v>
      </c>
      <c r="Z380" s="48">
        <f t="shared" si="40"/>
        <v>0.37</v>
      </c>
      <c r="AA380" s="48" t="str">
        <f t="shared" si="41"/>
        <v>-</v>
      </c>
      <c r="AB380" s="48" t="str">
        <f t="shared" si="42"/>
        <v>-</v>
      </c>
      <c r="AC380" s="48" t="str">
        <f t="shared" si="43"/>
        <v>-</v>
      </c>
      <c r="AD380" s="48" t="str">
        <f t="shared" si="44"/>
        <v>-</v>
      </c>
      <c r="AE380" s="48" t="str">
        <f t="shared" si="45"/>
        <v>-</v>
      </c>
      <c r="AF380" s="48" t="str">
        <f t="shared" si="46"/>
        <v>-</v>
      </c>
      <c r="AG380" s="48" t="str">
        <f t="shared" si="47"/>
        <v>-</v>
      </c>
    </row>
    <row r="381" spans="1:33" ht="15" thickBot="1" x14ac:dyDescent="0.35">
      <c r="A381" s="574"/>
      <c r="B381" s="346" t="s">
        <v>545</v>
      </c>
      <c r="C381" s="347">
        <v>317</v>
      </c>
      <c r="D381" s="335"/>
      <c r="E381" s="348">
        <v>0.8</v>
      </c>
      <c r="F381" s="349">
        <v>0.6</v>
      </c>
      <c r="G381" s="349">
        <v>0.3</v>
      </c>
      <c r="H381" s="348">
        <v>0.8</v>
      </c>
      <c r="I381" s="347" t="s">
        <v>578</v>
      </c>
      <c r="J381" s="388"/>
      <c r="K381" s="336"/>
      <c r="L381" s="336"/>
      <c r="M381" s="336"/>
      <c r="N381" s="336"/>
      <c r="O381" s="336"/>
      <c r="P381" s="336"/>
      <c r="Q381" s="336"/>
      <c r="R381" s="336"/>
      <c r="S381" s="336"/>
      <c r="T381" s="336"/>
      <c r="U381" s="351"/>
      <c r="V381" s="352" t="s">
        <v>379</v>
      </c>
      <c r="W381" s="323"/>
      <c r="X381" s="324">
        <v>7.67</v>
      </c>
      <c r="Z381" s="48">
        <f t="shared" si="40"/>
        <v>7.67</v>
      </c>
      <c r="AA381" s="48" t="str">
        <f t="shared" si="41"/>
        <v>-</v>
      </c>
      <c r="AB381" s="48" t="str">
        <f t="shared" si="42"/>
        <v>-</v>
      </c>
      <c r="AC381" s="48" t="str">
        <f t="shared" si="43"/>
        <v>-</v>
      </c>
      <c r="AD381" s="48" t="str">
        <f t="shared" si="44"/>
        <v>-</v>
      </c>
      <c r="AE381" s="48" t="str">
        <f t="shared" si="45"/>
        <v>-</v>
      </c>
      <c r="AF381" s="48" t="str">
        <f t="shared" si="46"/>
        <v>-</v>
      </c>
      <c r="AG381" s="48" t="str">
        <f t="shared" si="47"/>
        <v>-</v>
      </c>
    </row>
    <row r="382" spans="1:33" ht="15" thickBot="1" x14ac:dyDescent="0.35">
      <c r="A382" s="574"/>
      <c r="B382" s="346" t="s">
        <v>545</v>
      </c>
      <c r="C382" s="347">
        <v>325</v>
      </c>
      <c r="D382" s="335"/>
      <c r="E382" s="348">
        <v>0.8</v>
      </c>
      <c r="F382" s="349">
        <v>0.6</v>
      </c>
      <c r="G382" s="349">
        <v>0.3</v>
      </c>
      <c r="H382" s="348">
        <v>0.8</v>
      </c>
      <c r="I382" s="347" t="s">
        <v>578</v>
      </c>
      <c r="J382" s="388"/>
      <c r="K382" s="336"/>
      <c r="L382" s="336"/>
      <c r="M382" s="336"/>
      <c r="N382" s="336"/>
      <c r="O382" s="336"/>
      <c r="P382" s="336"/>
      <c r="Q382" s="336"/>
      <c r="R382" s="336"/>
      <c r="S382" s="336"/>
      <c r="T382" s="336"/>
      <c r="U382" s="351"/>
      <c r="V382" s="352" t="s">
        <v>379</v>
      </c>
      <c r="W382" s="323"/>
      <c r="X382" s="324">
        <v>7.58</v>
      </c>
      <c r="Z382" s="48">
        <f t="shared" si="40"/>
        <v>7.58</v>
      </c>
      <c r="AA382" s="48" t="str">
        <f t="shared" si="41"/>
        <v>-</v>
      </c>
      <c r="AB382" s="48" t="str">
        <f t="shared" si="42"/>
        <v>-</v>
      </c>
      <c r="AC382" s="48" t="str">
        <f t="shared" si="43"/>
        <v>-</v>
      </c>
      <c r="AD382" s="48" t="str">
        <f t="shared" si="44"/>
        <v>-</v>
      </c>
      <c r="AE382" s="48" t="str">
        <f t="shared" si="45"/>
        <v>-</v>
      </c>
      <c r="AF382" s="48" t="str">
        <f t="shared" si="46"/>
        <v>-</v>
      </c>
      <c r="AG382" s="48" t="str">
        <f t="shared" si="47"/>
        <v>-</v>
      </c>
    </row>
    <row r="383" spans="1:33" ht="15" thickBot="1" x14ac:dyDescent="0.35">
      <c r="A383" s="574"/>
      <c r="B383" s="346" t="s">
        <v>545</v>
      </c>
      <c r="C383" s="347">
        <v>333</v>
      </c>
      <c r="D383" s="335"/>
      <c r="E383" s="348">
        <v>0.8</v>
      </c>
      <c r="F383" s="349">
        <v>0.6</v>
      </c>
      <c r="G383" s="349">
        <v>0.3</v>
      </c>
      <c r="H383" s="348">
        <v>0.8</v>
      </c>
      <c r="I383" s="347" t="s">
        <v>578</v>
      </c>
      <c r="J383" s="388"/>
      <c r="K383" s="336"/>
      <c r="L383" s="336"/>
      <c r="M383" s="336"/>
      <c r="N383" s="336"/>
      <c r="O383" s="336"/>
      <c r="P383" s="336"/>
      <c r="Q383" s="336"/>
      <c r="R383" s="336"/>
      <c r="S383" s="336"/>
      <c r="T383" s="336"/>
      <c r="U383" s="351"/>
      <c r="V383" s="352" t="s">
        <v>379</v>
      </c>
      <c r="W383" s="323"/>
      <c r="X383" s="324">
        <v>7.52</v>
      </c>
      <c r="Z383" s="48">
        <f t="shared" si="40"/>
        <v>7.52</v>
      </c>
      <c r="AA383" s="48" t="str">
        <f t="shared" si="41"/>
        <v>-</v>
      </c>
      <c r="AB383" s="48" t="str">
        <f t="shared" si="42"/>
        <v>-</v>
      </c>
      <c r="AC383" s="48" t="str">
        <f t="shared" si="43"/>
        <v>-</v>
      </c>
      <c r="AD383" s="48" t="str">
        <f t="shared" si="44"/>
        <v>-</v>
      </c>
      <c r="AE383" s="48" t="str">
        <f t="shared" si="45"/>
        <v>-</v>
      </c>
      <c r="AF383" s="48" t="str">
        <f t="shared" si="46"/>
        <v>-</v>
      </c>
      <c r="AG383" s="48" t="str">
        <f t="shared" si="47"/>
        <v>-</v>
      </c>
    </row>
    <row r="384" spans="1:33" ht="15" thickBot="1" x14ac:dyDescent="0.35">
      <c r="A384" s="574"/>
      <c r="B384" s="346" t="s">
        <v>545</v>
      </c>
      <c r="C384" s="347">
        <v>341</v>
      </c>
      <c r="D384" s="335"/>
      <c r="E384" s="348">
        <v>0.8</v>
      </c>
      <c r="F384" s="349">
        <v>0.6</v>
      </c>
      <c r="G384" s="349">
        <v>0.3</v>
      </c>
      <c r="H384" s="348">
        <v>0.8</v>
      </c>
      <c r="I384" s="347" t="s">
        <v>578</v>
      </c>
      <c r="J384" s="388"/>
      <c r="K384" s="336"/>
      <c r="L384" s="336"/>
      <c r="M384" s="336"/>
      <c r="N384" s="336"/>
      <c r="O384" s="336"/>
      <c r="P384" s="336"/>
      <c r="Q384" s="336"/>
      <c r="R384" s="336"/>
      <c r="S384" s="336"/>
      <c r="T384" s="336"/>
      <c r="U384" s="351"/>
      <c r="V384" s="352" t="s">
        <v>379</v>
      </c>
      <c r="W384" s="323"/>
      <c r="X384" s="324">
        <v>7.46</v>
      </c>
      <c r="Z384" s="48">
        <f t="shared" si="40"/>
        <v>7.46</v>
      </c>
      <c r="AA384" s="48" t="str">
        <f t="shared" si="41"/>
        <v>-</v>
      </c>
      <c r="AB384" s="48" t="str">
        <f t="shared" si="42"/>
        <v>-</v>
      </c>
      <c r="AC384" s="48" t="str">
        <f t="shared" si="43"/>
        <v>-</v>
      </c>
      <c r="AD384" s="48" t="str">
        <f t="shared" si="44"/>
        <v>-</v>
      </c>
      <c r="AE384" s="48" t="str">
        <f t="shared" si="45"/>
        <v>-</v>
      </c>
      <c r="AF384" s="48" t="str">
        <f t="shared" si="46"/>
        <v>-</v>
      </c>
      <c r="AG384" s="48" t="str">
        <f t="shared" si="47"/>
        <v>-</v>
      </c>
    </row>
    <row r="385" spans="1:33" ht="15" thickBot="1" x14ac:dyDescent="0.35">
      <c r="A385" s="574"/>
      <c r="B385" s="346" t="s">
        <v>545</v>
      </c>
      <c r="C385" s="347">
        <v>349</v>
      </c>
      <c r="D385" s="335"/>
      <c r="E385" s="348">
        <v>0.8</v>
      </c>
      <c r="F385" s="349">
        <v>0.6</v>
      </c>
      <c r="G385" s="349">
        <v>0.3</v>
      </c>
      <c r="H385" s="348">
        <v>0.8</v>
      </c>
      <c r="I385" s="347" t="s">
        <v>578</v>
      </c>
      <c r="J385" s="388"/>
      <c r="K385" s="336"/>
      <c r="L385" s="336"/>
      <c r="M385" s="336"/>
      <c r="N385" s="336"/>
      <c r="O385" s="336"/>
      <c r="P385" s="336"/>
      <c r="Q385" s="336"/>
      <c r="R385" s="336"/>
      <c r="S385" s="336"/>
      <c r="T385" s="336"/>
      <c r="U385" s="351"/>
      <c r="V385" s="352" t="s">
        <v>379</v>
      </c>
      <c r="W385" s="323"/>
      <c r="X385" s="324">
        <v>7.35</v>
      </c>
      <c r="Z385" s="48">
        <f t="shared" si="40"/>
        <v>7.35</v>
      </c>
      <c r="AA385" s="48" t="str">
        <f t="shared" si="41"/>
        <v>-</v>
      </c>
      <c r="AB385" s="48" t="str">
        <f t="shared" si="42"/>
        <v>-</v>
      </c>
      <c r="AC385" s="48" t="str">
        <f t="shared" si="43"/>
        <v>-</v>
      </c>
      <c r="AD385" s="48" t="str">
        <f t="shared" si="44"/>
        <v>-</v>
      </c>
      <c r="AE385" s="48" t="str">
        <f t="shared" si="45"/>
        <v>-</v>
      </c>
      <c r="AF385" s="48" t="str">
        <f t="shared" si="46"/>
        <v>-</v>
      </c>
      <c r="AG385" s="48" t="str">
        <f t="shared" si="47"/>
        <v>-</v>
      </c>
    </row>
    <row r="386" spans="1:33" ht="15" thickBot="1" x14ac:dyDescent="0.35">
      <c r="A386" s="574"/>
      <c r="B386" s="346" t="s">
        <v>545</v>
      </c>
      <c r="C386" s="347">
        <v>357</v>
      </c>
      <c r="D386" s="335"/>
      <c r="E386" s="348">
        <v>0.8</v>
      </c>
      <c r="F386" s="349">
        <v>0.6</v>
      </c>
      <c r="G386" s="349">
        <v>0.3</v>
      </c>
      <c r="H386" s="348">
        <v>0.8</v>
      </c>
      <c r="I386" s="347" t="s">
        <v>578</v>
      </c>
      <c r="J386" s="388"/>
      <c r="K386" s="336"/>
      <c r="L386" s="336"/>
      <c r="M386" s="336"/>
      <c r="N386" s="336"/>
      <c r="O386" s="336"/>
      <c r="P386" s="336"/>
      <c r="Q386" s="336"/>
      <c r="R386" s="336"/>
      <c r="S386" s="336"/>
      <c r="T386" s="336"/>
      <c r="U386" s="351"/>
      <c r="V386" s="352" t="s">
        <v>379</v>
      </c>
      <c r="W386" s="323"/>
      <c r="X386" s="324">
        <v>7.26</v>
      </c>
      <c r="Z386" s="48">
        <f t="shared" si="40"/>
        <v>7.26</v>
      </c>
      <c r="AA386" s="48" t="str">
        <f t="shared" si="41"/>
        <v>-</v>
      </c>
      <c r="AB386" s="48" t="str">
        <f t="shared" si="42"/>
        <v>-</v>
      </c>
      <c r="AC386" s="48" t="str">
        <f t="shared" si="43"/>
        <v>-</v>
      </c>
      <c r="AD386" s="48" t="str">
        <f t="shared" si="44"/>
        <v>-</v>
      </c>
      <c r="AE386" s="48" t="str">
        <f t="shared" si="45"/>
        <v>-</v>
      </c>
      <c r="AF386" s="48" t="str">
        <f t="shared" si="46"/>
        <v>-</v>
      </c>
      <c r="AG386" s="48" t="str">
        <f t="shared" si="47"/>
        <v>-</v>
      </c>
    </row>
    <row r="387" spans="1:33" ht="15" thickBot="1" x14ac:dyDescent="0.35">
      <c r="A387" s="574"/>
      <c r="B387" s="346" t="s">
        <v>545</v>
      </c>
      <c r="C387" s="347">
        <v>365</v>
      </c>
      <c r="D387" s="335"/>
      <c r="E387" s="348">
        <v>0.8</v>
      </c>
      <c r="F387" s="349">
        <v>0.6</v>
      </c>
      <c r="G387" s="349">
        <v>0.3</v>
      </c>
      <c r="H387" s="348">
        <v>0.8</v>
      </c>
      <c r="I387" s="347" t="s">
        <v>578</v>
      </c>
      <c r="J387" s="388"/>
      <c r="K387" s="336"/>
      <c r="L387" s="336"/>
      <c r="M387" s="336"/>
      <c r="N387" s="336"/>
      <c r="O387" s="336"/>
      <c r="P387" s="336"/>
      <c r="Q387" s="336"/>
      <c r="R387" s="336"/>
      <c r="S387" s="336"/>
      <c r="T387" s="336"/>
      <c r="U387" s="351"/>
      <c r="V387" s="352" t="s">
        <v>379</v>
      </c>
      <c r="W387" s="323"/>
      <c r="X387" s="324">
        <v>7.2</v>
      </c>
      <c r="Z387" s="48">
        <f t="shared" si="40"/>
        <v>7.2</v>
      </c>
      <c r="AA387" s="48" t="str">
        <f t="shared" si="41"/>
        <v>-</v>
      </c>
      <c r="AB387" s="48" t="str">
        <f t="shared" si="42"/>
        <v>-</v>
      </c>
      <c r="AC387" s="48" t="str">
        <f t="shared" si="43"/>
        <v>-</v>
      </c>
      <c r="AD387" s="48" t="str">
        <f t="shared" si="44"/>
        <v>-</v>
      </c>
      <c r="AE387" s="48" t="str">
        <f t="shared" si="45"/>
        <v>-</v>
      </c>
      <c r="AF387" s="48" t="str">
        <f t="shared" si="46"/>
        <v>-</v>
      </c>
      <c r="AG387" s="48" t="str">
        <f t="shared" si="47"/>
        <v>-</v>
      </c>
    </row>
    <row r="388" spans="1:33" ht="15" thickBot="1" x14ac:dyDescent="0.35">
      <c r="A388" s="574"/>
      <c r="B388" s="346" t="s">
        <v>545</v>
      </c>
      <c r="C388" s="347">
        <v>373</v>
      </c>
      <c r="D388" s="335"/>
      <c r="E388" s="348">
        <v>0.8</v>
      </c>
      <c r="F388" s="349">
        <v>0.6</v>
      </c>
      <c r="G388" s="349">
        <v>0.3</v>
      </c>
      <c r="H388" s="348">
        <v>0.8</v>
      </c>
      <c r="I388" s="347" t="s">
        <v>578</v>
      </c>
      <c r="J388" s="388"/>
      <c r="K388" s="336"/>
      <c r="L388" s="336"/>
      <c r="M388" s="336"/>
      <c r="N388" s="336"/>
      <c r="O388" s="336"/>
      <c r="P388" s="336"/>
      <c r="Q388" s="336"/>
      <c r="R388" s="336"/>
      <c r="S388" s="336"/>
      <c r="T388" s="336"/>
      <c r="U388" s="351"/>
      <c r="V388" s="352" t="s">
        <v>379</v>
      </c>
      <c r="W388" s="323"/>
      <c r="X388" s="324">
        <v>7.3</v>
      </c>
      <c r="Z388" s="48">
        <f t="shared" ref="Z388:Z451" si="48">IF(AND(0&lt;=$H388,$H388&lt;=1,$V388="U")=TRUE,$X388,"-")</f>
        <v>7.3</v>
      </c>
      <c r="AA388" s="48" t="str">
        <f t="shared" ref="AA388:AA451" si="49">IF(AND(0&lt;=$H388,$H388&lt;=1,$V388="r")=TRUE,$X388,"-")</f>
        <v>-</v>
      </c>
      <c r="AB388" s="48" t="str">
        <f t="shared" ref="AB388:AB451" si="50">IF(AND(0&lt;=$H388,$H388&lt;=1,$V388="RI")=TRUE,$X388,"-")</f>
        <v>-</v>
      </c>
      <c r="AC388" s="48" t="str">
        <f t="shared" ref="AC388:AC451" si="51">IF(AND(0&lt;=$H388,$H388&lt;=1,$V388="RE")=TRUE,$X388,"-")</f>
        <v>-</v>
      </c>
      <c r="AD388" s="48" t="str">
        <f t="shared" ref="AD388:AD451" si="52">IF(AND(1.01&lt;=$H388,$H388&lt;=1.25,$V388="U")=TRUE,$X388,"-")</f>
        <v>-</v>
      </c>
      <c r="AE388" s="48" t="str">
        <f t="shared" ref="AE388:AE451" si="53">IF(AND(1.01&lt;=$H388,$H388&lt;=1.25,$V388="R")=TRUE,$X388,"-")</f>
        <v>-</v>
      </c>
      <c r="AF388" s="48" t="str">
        <f t="shared" ref="AF388:AF451" si="54">IF(AND(1.01&lt;=$H388,$H388&lt;=1.25,$V388="RI")=TRUE,$X388,"-")</f>
        <v>-</v>
      </c>
      <c r="AG388" s="48" t="str">
        <f t="shared" ref="AG388:AG451" si="55">IF(AND(1.01&lt;=$H388,$H388&lt;=1.25,$V388="RE")=TRUE,$X388,"-")</f>
        <v>-</v>
      </c>
    </row>
    <row r="389" spans="1:33" ht="15" thickBot="1" x14ac:dyDescent="0.35">
      <c r="A389" s="574"/>
      <c r="B389" s="346" t="s">
        <v>545</v>
      </c>
      <c r="C389" s="347">
        <v>385</v>
      </c>
      <c r="D389" s="335"/>
      <c r="E389" s="348">
        <v>0.8</v>
      </c>
      <c r="F389" s="349">
        <v>0.6</v>
      </c>
      <c r="G389" s="349">
        <v>0.3</v>
      </c>
      <c r="H389" s="348">
        <v>0.8</v>
      </c>
      <c r="I389" s="347" t="s">
        <v>578</v>
      </c>
      <c r="J389" s="388"/>
      <c r="K389" s="336"/>
      <c r="L389" s="336"/>
      <c r="M389" s="336"/>
      <c r="N389" s="336"/>
      <c r="O389" s="336"/>
      <c r="P389" s="336"/>
      <c r="Q389" s="336"/>
      <c r="R389" s="336"/>
      <c r="S389" s="336"/>
      <c r="T389" s="336"/>
      <c r="U389" s="351"/>
      <c r="V389" s="352" t="s">
        <v>379</v>
      </c>
      <c r="W389" s="323"/>
      <c r="X389" s="324">
        <v>5.66</v>
      </c>
      <c r="Z389" s="48">
        <f t="shared" si="48"/>
        <v>5.66</v>
      </c>
      <c r="AA389" s="48" t="str">
        <f t="shared" si="49"/>
        <v>-</v>
      </c>
      <c r="AB389" s="48" t="str">
        <f t="shared" si="50"/>
        <v>-</v>
      </c>
      <c r="AC389" s="48" t="str">
        <f t="shared" si="51"/>
        <v>-</v>
      </c>
      <c r="AD389" s="48" t="str">
        <f t="shared" si="52"/>
        <v>-</v>
      </c>
      <c r="AE389" s="48" t="str">
        <f t="shared" si="53"/>
        <v>-</v>
      </c>
      <c r="AF389" s="48" t="str">
        <f t="shared" si="54"/>
        <v>-</v>
      </c>
      <c r="AG389" s="48" t="str">
        <f t="shared" si="55"/>
        <v>-</v>
      </c>
    </row>
    <row r="390" spans="1:33" ht="15" thickBot="1" x14ac:dyDescent="0.35">
      <c r="A390" s="574"/>
      <c r="B390" s="346" t="s">
        <v>570</v>
      </c>
      <c r="C390" s="347">
        <v>110</v>
      </c>
      <c r="D390" s="335"/>
      <c r="E390" s="348">
        <v>0.8</v>
      </c>
      <c r="F390" s="349">
        <v>0.6</v>
      </c>
      <c r="G390" s="349">
        <v>0.3</v>
      </c>
      <c r="H390" s="348">
        <v>0.8</v>
      </c>
      <c r="I390" s="347" t="s">
        <v>578</v>
      </c>
      <c r="J390" s="350"/>
      <c r="K390" s="336"/>
      <c r="L390" s="336"/>
      <c r="M390" s="336"/>
      <c r="N390" s="336"/>
      <c r="O390" s="336"/>
      <c r="P390" s="336"/>
      <c r="Q390" s="336"/>
      <c r="R390" s="336"/>
      <c r="S390" s="336"/>
      <c r="T390" s="336"/>
      <c r="U390" s="351"/>
      <c r="V390" s="352" t="s">
        <v>379</v>
      </c>
      <c r="W390" s="323">
        <v>1</v>
      </c>
      <c r="X390" s="324">
        <v>0.67</v>
      </c>
      <c r="Z390" s="48">
        <f t="shared" si="48"/>
        <v>0.67</v>
      </c>
      <c r="AA390" s="48" t="str">
        <f t="shared" si="49"/>
        <v>-</v>
      </c>
      <c r="AB390" s="48" t="str">
        <f t="shared" si="50"/>
        <v>-</v>
      </c>
      <c r="AC390" s="48" t="str">
        <f t="shared" si="51"/>
        <v>-</v>
      </c>
      <c r="AD390" s="48" t="str">
        <f t="shared" si="52"/>
        <v>-</v>
      </c>
      <c r="AE390" s="48" t="str">
        <f t="shared" si="53"/>
        <v>-</v>
      </c>
      <c r="AF390" s="48" t="str">
        <f t="shared" si="54"/>
        <v>-</v>
      </c>
      <c r="AG390" s="48" t="str">
        <f t="shared" si="55"/>
        <v>-</v>
      </c>
    </row>
    <row r="391" spans="1:33" ht="15" thickBot="1" x14ac:dyDescent="0.35">
      <c r="A391" s="574"/>
      <c r="B391" s="346" t="s">
        <v>570</v>
      </c>
      <c r="C391" s="347">
        <v>120</v>
      </c>
      <c r="D391" s="335"/>
      <c r="E391" s="348">
        <v>0.8</v>
      </c>
      <c r="F391" s="349">
        <v>0.6</v>
      </c>
      <c r="G391" s="349">
        <v>0.3</v>
      </c>
      <c r="H391" s="348">
        <v>0.8</v>
      </c>
      <c r="I391" s="347" t="s">
        <v>578</v>
      </c>
      <c r="J391" s="350"/>
      <c r="K391" s="336"/>
      <c r="L391" s="336"/>
      <c r="M391" s="336"/>
      <c r="N391" s="336"/>
      <c r="O391" s="336"/>
      <c r="P391" s="336"/>
      <c r="Q391" s="336"/>
      <c r="R391" s="336"/>
      <c r="S391" s="336"/>
      <c r="T391" s="336"/>
      <c r="U391" s="351"/>
      <c r="V391" s="352" t="s">
        <v>379</v>
      </c>
      <c r="W391" s="323">
        <v>1</v>
      </c>
      <c r="X391" s="324">
        <v>0.67</v>
      </c>
      <c r="Z391" s="48">
        <f t="shared" si="48"/>
        <v>0.67</v>
      </c>
      <c r="AA391" s="48" t="str">
        <f t="shared" si="49"/>
        <v>-</v>
      </c>
      <c r="AB391" s="48" t="str">
        <f t="shared" si="50"/>
        <v>-</v>
      </c>
      <c r="AC391" s="48" t="str">
        <f t="shared" si="51"/>
        <v>-</v>
      </c>
      <c r="AD391" s="48" t="str">
        <f t="shared" si="52"/>
        <v>-</v>
      </c>
      <c r="AE391" s="48" t="str">
        <f t="shared" si="53"/>
        <v>-</v>
      </c>
      <c r="AF391" s="48" t="str">
        <f t="shared" si="54"/>
        <v>-</v>
      </c>
      <c r="AG391" s="48" t="str">
        <f t="shared" si="55"/>
        <v>-</v>
      </c>
    </row>
    <row r="392" spans="1:33" ht="15" thickBot="1" x14ac:dyDescent="0.35">
      <c r="A392" s="574"/>
      <c r="B392" s="346" t="s">
        <v>570</v>
      </c>
      <c r="C392" s="347">
        <v>130</v>
      </c>
      <c r="D392" s="335"/>
      <c r="E392" s="348">
        <v>0.8</v>
      </c>
      <c r="F392" s="349">
        <v>0.6</v>
      </c>
      <c r="G392" s="349">
        <v>0.3</v>
      </c>
      <c r="H392" s="348">
        <v>0.8</v>
      </c>
      <c r="I392" s="347" t="s">
        <v>578</v>
      </c>
      <c r="J392" s="350"/>
      <c r="K392" s="336"/>
      <c r="L392" s="336"/>
      <c r="M392" s="336"/>
      <c r="N392" s="336"/>
      <c r="O392" s="336"/>
      <c r="P392" s="336"/>
      <c r="Q392" s="336"/>
      <c r="R392" s="336"/>
      <c r="S392" s="336"/>
      <c r="T392" s="336"/>
      <c r="U392" s="351"/>
      <c r="V392" s="352" t="s">
        <v>379</v>
      </c>
      <c r="W392" s="323">
        <v>1</v>
      </c>
      <c r="X392" s="324">
        <v>0.67</v>
      </c>
      <c r="Z392" s="48">
        <f t="shared" si="48"/>
        <v>0.67</v>
      </c>
      <c r="AA392" s="48" t="str">
        <f t="shared" si="49"/>
        <v>-</v>
      </c>
      <c r="AB392" s="48" t="str">
        <f t="shared" si="50"/>
        <v>-</v>
      </c>
      <c r="AC392" s="48" t="str">
        <f t="shared" si="51"/>
        <v>-</v>
      </c>
      <c r="AD392" s="48" t="str">
        <f t="shared" si="52"/>
        <v>-</v>
      </c>
      <c r="AE392" s="48" t="str">
        <f t="shared" si="53"/>
        <v>-</v>
      </c>
      <c r="AF392" s="48" t="str">
        <f t="shared" si="54"/>
        <v>-</v>
      </c>
      <c r="AG392" s="48" t="str">
        <f t="shared" si="55"/>
        <v>-</v>
      </c>
    </row>
    <row r="393" spans="1:33" ht="15" thickBot="1" x14ac:dyDescent="0.35">
      <c r="A393" s="574"/>
      <c r="B393" s="346" t="s">
        <v>570</v>
      </c>
      <c r="C393" s="347">
        <v>140</v>
      </c>
      <c r="D393" s="335"/>
      <c r="E393" s="348">
        <v>0.8</v>
      </c>
      <c r="F393" s="349">
        <v>0.6</v>
      </c>
      <c r="G393" s="349">
        <v>0.3</v>
      </c>
      <c r="H393" s="348">
        <v>0.8</v>
      </c>
      <c r="I393" s="347" t="s">
        <v>578</v>
      </c>
      <c r="J393" s="350"/>
      <c r="K393" s="336"/>
      <c r="L393" s="336"/>
      <c r="M393" s="336"/>
      <c r="N393" s="336"/>
      <c r="O393" s="336"/>
      <c r="P393" s="336"/>
      <c r="Q393" s="336"/>
      <c r="R393" s="336"/>
      <c r="S393" s="336"/>
      <c r="T393" s="336"/>
      <c r="U393" s="351"/>
      <c r="V393" s="352" t="s">
        <v>379</v>
      </c>
      <c r="W393" s="323">
        <v>1</v>
      </c>
      <c r="X393" s="324">
        <v>0.67</v>
      </c>
      <c r="Z393" s="48">
        <f t="shared" si="48"/>
        <v>0.67</v>
      </c>
      <c r="AA393" s="48" t="str">
        <f t="shared" si="49"/>
        <v>-</v>
      </c>
      <c r="AB393" s="48" t="str">
        <f t="shared" si="50"/>
        <v>-</v>
      </c>
      <c r="AC393" s="48" t="str">
        <f t="shared" si="51"/>
        <v>-</v>
      </c>
      <c r="AD393" s="48" t="str">
        <f t="shared" si="52"/>
        <v>-</v>
      </c>
      <c r="AE393" s="48" t="str">
        <f t="shared" si="53"/>
        <v>-</v>
      </c>
      <c r="AF393" s="48" t="str">
        <f t="shared" si="54"/>
        <v>-</v>
      </c>
      <c r="AG393" s="48" t="str">
        <f t="shared" si="55"/>
        <v>-</v>
      </c>
    </row>
    <row r="394" spans="1:33" ht="15" thickBot="1" x14ac:dyDescent="0.35">
      <c r="A394" s="574"/>
      <c r="B394" s="346" t="s">
        <v>570</v>
      </c>
      <c r="C394" s="347">
        <v>150</v>
      </c>
      <c r="D394" s="335"/>
      <c r="E394" s="348">
        <v>0.8</v>
      </c>
      <c r="F394" s="349">
        <v>0.6</v>
      </c>
      <c r="G394" s="349">
        <v>0.3</v>
      </c>
      <c r="H394" s="348">
        <v>0.8</v>
      </c>
      <c r="I394" s="347" t="s">
        <v>578</v>
      </c>
      <c r="J394" s="350"/>
      <c r="K394" s="336"/>
      <c r="L394" s="336"/>
      <c r="M394" s="336"/>
      <c r="N394" s="336"/>
      <c r="O394" s="336"/>
      <c r="P394" s="336"/>
      <c r="Q394" s="336"/>
      <c r="R394" s="336"/>
      <c r="S394" s="336"/>
      <c r="T394" s="336"/>
      <c r="U394" s="351"/>
      <c r="V394" s="352" t="s">
        <v>379</v>
      </c>
      <c r="W394" s="323">
        <v>1</v>
      </c>
      <c r="X394" s="324">
        <v>0.67</v>
      </c>
      <c r="Z394" s="48">
        <f t="shared" si="48"/>
        <v>0.67</v>
      </c>
      <c r="AA394" s="48" t="str">
        <f t="shared" si="49"/>
        <v>-</v>
      </c>
      <c r="AB394" s="48" t="str">
        <f t="shared" si="50"/>
        <v>-</v>
      </c>
      <c r="AC394" s="48" t="str">
        <f t="shared" si="51"/>
        <v>-</v>
      </c>
      <c r="AD394" s="48" t="str">
        <f t="shared" si="52"/>
        <v>-</v>
      </c>
      <c r="AE394" s="48" t="str">
        <f t="shared" si="53"/>
        <v>-</v>
      </c>
      <c r="AF394" s="48" t="str">
        <f t="shared" si="54"/>
        <v>-</v>
      </c>
      <c r="AG394" s="48" t="str">
        <f t="shared" si="55"/>
        <v>-</v>
      </c>
    </row>
    <row r="395" spans="1:33" ht="15" thickBot="1" x14ac:dyDescent="0.35">
      <c r="A395" s="574"/>
      <c r="B395" s="346" t="s">
        <v>570</v>
      </c>
      <c r="C395" s="347">
        <v>160</v>
      </c>
      <c r="D395" s="335"/>
      <c r="E395" s="348">
        <v>0.8</v>
      </c>
      <c r="F395" s="349">
        <v>0.6</v>
      </c>
      <c r="G395" s="349">
        <v>0.3</v>
      </c>
      <c r="H395" s="348">
        <v>0.8</v>
      </c>
      <c r="I395" s="347" t="s">
        <v>578</v>
      </c>
      <c r="J395" s="350"/>
      <c r="K395" s="336"/>
      <c r="L395" s="336"/>
      <c r="M395" s="336"/>
      <c r="N395" s="336"/>
      <c r="O395" s="336"/>
      <c r="P395" s="336"/>
      <c r="Q395" s="336"/>
      <c r="R395" s="336"/>
      <c r="S395" s="336"/>
      <c r="T395" s="336"/>
      <c r="U395" s="351"/>
      <c r="V395" s="352" t="s">
        <v>379</v>
      </c>
      <c r="W395" s="323">
        <v>1</v>
      </c>
      <c r="X395" s="324">
        <v>0.67</v>
      </c>
      <c r="Z395" s="48">
        <f t="shared" si="48"/>
        <v>0.67</v>
      </c>
      <c r="AA395" s="48" t="str">
        <f t="shared" si="49"/>
        <v>-</v>
      </c>
      <c r="AB395" s="48" t="str">
        <f t="shared" si="50"/>
        <v>-</v>
      </c>
      <c r="AC395" s="48" t="str">
        <f t="shared" si="51"/>
        <v>-</v>
      </c>
      <c r="AD395" s="48" t="str">
        <f t="shared" si="52"/>
        <v>-</v>
      </c>
      <c r="AE395" s="48" t="str">
        <f t="shared" si="53"/>
        <v>-</v>
      </c>
      <c r="AF395" s="48" t="str">
        <f t="shared" si="54"/>
        <v>-</v>
      </c>
      <c r="AG395" s="48" t="str">
        <f t="shared" si="55"/>
        <v>-</v>
      </c>
    </row>
    <row r="396" spans="1:33" ht="15" thickBot="1" x14ac:dyDescent="0.35">
      <c r="A396" s="574"/>
      <c r="B396" s="346" t="s">
        <v>570</v>
      </c>
      <c r="C396" s="347">
        <v>170</v>
      </c>
      <c r="D396" s="335"/>
      <c r="E396" s="348">
        <v>0.8</v>
      </c>
      <c r="F396" s="349">
        <v>0.6</v>
      </c>
      <c r="G396" s="349">
        <v>0.3</v>
      </c>
      <c r="H396" s="348">
        <v>0.8</v>
      </c>
      <c r="I396" s="347" t="s">
        <v>578</v>
      </c>
      <c r="J396" s="350"/>
      <c r="K396" s="336"/>
      <c r="L396" s="336"/>
      <c r="M396" s="336"/>
      <c r="N396" s="336"/>
      <c r="O396" s="336"/>
      <c r="P396" s="336"/>
      <c r="Q396" s="336"/>
      <c r="R396" s="336"/>
      <c r="S396" s="336"/>
      <c r="T396" s="336"/>
      <c r="U396" s="351"/>
      <c r="V396" s="352" t="s">
        <v>379</v>
      </c>
      <c r="W396" s="323">
        <v>1</v>
      </c>
      <c r="X396" s="324">
        <v>0.67</v>
      </c>
      <c r="Z396" s="48">
        <f t="shared" si="48"/>
        <v>0.67</v>
      </c>
      <c r="AA396" s="48" t="str">
        <f t="shared" si="49"/>
        <v>-</v>
      </c>
      <c r="AB396" s="48" t="str">
        <f t="shared" si="50"/>
        <v>-</v>
      </c>
      <c r="AC396" s="48" t="str">
        <f t="shared" si="51"/>
        <v>-</v>
      </c>
      <c r="AD396" s="48" t="str">
        <f t="shared" si="52"/>
        <v>-</v>
      </c>
      <c r="AE396" s="48" t="str">
        <f t="shared" si="53"/>
        <v>-</v>
      </c>
      <c r="AF396" s="48" t="str">
        <f t="shared" si="54"/>
        <v>-</v>
      </c>
      <c r="AG396" s="48" t="str">
        <f t="shared" si="55"/>
        <v>-</v>
      </c>
    </row>
    <row r="397" spans="1:33" ht="15" thickBot="1" x14ac:dyDescent="0.35">
      <c r="A397" s="574"/>
      <c r="B397" s="346" t="s">
        <v>570</v>
      </c>
      <c r="C397" s="347">
        <v>180</v>
      </c>
      <c r="D397" s="335"/>
      <c r="E397" s="348">
        <v>0.8</v>
      </c>
      <c r="F397" s="349">
        <v>0.6</v>
      </c>
      <c r="G397" s="349">
        <v>0.3</v>
      </c>
      <c r="H397" s="348">
        <v>0.8</v>
      </c>
      <c r="I397" s="347" t="s">
        <v>578</v>
      </c>
      <c r="J397" s="350"/>
      <c r="K397" s="336"/>
      <c r="L397" s="336"/>
      <c r="M397" s="336"/>
      <c r="N397" s="336"/>
      <c r="O397" s="336"/>
      <c r="P397" s="336"/>
      <c r="Q397" s="336"/>
      <c r="R397" s="336"/>
      <c r="S397" s="336"/>
      <c r="T397" s="336"/>
      <c r="U397" s="351"/>
      <c r="V397" s="352" t="s">
        <v>379</v>
      </c>
      <c r="W397" s="323">
        <v>1</v>
      </c>
      <c r="X397" s="324">
        <v>0.67</v>
      </c>
      <c r="Z397" s="48">
        <f t="shared" si="48"/>
        <v>0.67</v>
      </c>
      <c r="AA397" s="48" t="str">
        <f t="shared" si="49"/>
        <v>-</v>
      </c>
      <c r="AB397" s="48" t="str">
        <f t="shared" si="50"/>
        <v>-</v>
      </c>
      <c r="AC397" s="48" t="str">
        <f t="shared" si="51"/>
        <v>-</v>
      </c>
      <c r="AD397" s="48" t="str">
        <f t="shared" si="52"/>
        <v>-</v>
      </c>
      <c r="AE397" s="48" t="str">
        <f t="shared" si="53"/>
        <v>-</v>
      </c>
      <c r="AF397" s="48" t="str">
        <f t="shared" si="54"/>
        <v>-</v>
      </c>
      <c r="AG397" s="48" t="str">
        <f t="shared" si="55"/>
        <v>-</v>
      </c>
    </row>
    <row r="398" spans="1:33" ht="15" thickBot="1" x14ac:dyDescent="0.35">
      <c r="A398" s="575"/>
      <c r="B398" s="367" t="s">
        <v>571</v>
      </c>
      <c r="C398" s="368">
        <v>130</v>
      </c>
      <c r="D398" s="335"/>
      <c r="E398" s="369">
        <v>0.8</v>
      </c>
      <c r="F398" s="370">
        <v>0.6</v>
      </c>
      <c r="G398" s="370">
        <v>0.3</v>
      </c>
      <c r="H398" s="369">
        <v>0.8</v>
      </c>
      <c r="I398" s="368" t="s">
        <v>578</v>
      </c>
      <c r="J398" s="391"/>
      <c r="K398" s="336"/>
      <c r="L398" s="336"/>
      <c r="M398" s="336"/>
      <c r="N398" s="336"/>
      <c r="O398" s="336"/>
      <c r="P398" s="336"/>
      <c r="Q398" s="336"/>
      <c r="R398" s="336"/>
      <c r="S398" s="336"/>
      <c r="T398" s="336"/>
      <c r="U398" s="351"/>
      <c r="V398" s="352" t="s">
        <v>379</v>
      </c>
      <c r="W398" s="329"/>
      <c r="X398" s="330">
        <v>5.63</v>
      </c>
      <c r="Z398" s="48">
        <f t="shared" si="48"/>
        <v>5.63</v>
      </c>
      <c r="AA398" s="48" t="str">
        <f t="shared" si="49"/>
        <v>-</v>
      </c>
      <c r="AB398" s="48" t="str">
        <f t="shared" si="50"/>
        <v>-</v>
      </c>
      <c r="AC398" s="48" t="str">
        <f t="shared" si="51"/>
        <v>-</v>
      </c>
      <c r="AD398" s="48" t="str">
        <f t="shared" si="52"/>
        <v>-</v>
      </c>
      <c r="AE398" s="48" t="str">
        <f t="shared" si="53"/>
        <v>-</v>
      </c>
      <c r="AF398" s="48" t="str">
        <f t="shared" si="54"/>
        <v>-</v>
      </c>
      <c r="AG398" s="48" t="str">
        <f t="shared" si="55"/>
        <v>-</v>
      </c>
    </row>
    <row r="399" spans="1:33" ht="15" thickBot="1" x14ac:dyDescent="0.35">
      <c r="A399" s="576" t="s">
        <v>122</v>
      </c>
      <c r="B399" s="337" t="s">
        <v>571</v>
      </c>
      <c r="C399" s="338">
        <v>120</v>
      </c>
      <c r="D399" s="339"/>
      <c r="E399" s="340">
        <v>0.8</v>
      </c>
      <c r="F399" s="341">
        <v>0.6</v>
      </c>
      <c r="G399" s="341">
        <v>0.3</v>
      </c>
      <c r="H399" s="340">
        <v>0.8</v>
      </c>
      <c r="I399" s="338" t="s">
        <v>578</v>
      </c>
      <c r="J399" s="389"/>
      <c r="K399" s="343"/>
      <c r="L399" s="343"/>
      <c r="M399" s="343"/>
      <c r="N399" s="343"/>
      <c r="O399" s="343"/>
      <c r="P399" s="343"/>
      <c r="Q399" s="343"/>
      <c r="R399" s="343"/>
      <c r="S399" s="343"/>
      <c r="T399" s="343"/>
      <c r="U399" s="344"/>
      <c r="V399" s="345" t="s">
        <v>379</v>
      </c>
      <c r="W399" s="321"/>
      <c r="X399" s="322">
        <v>4.7300000000000004</v>
      </c>
      <c r="Z399" s="48">
        <f t="shared" si="48"/>
        <v>4.7300000000000004</v>
      </c>
      <c r="AA399" s="48" t="str">
        <f t="shared" si="49"/>
        <v>-</v>
      </c>
      <c r="AB399" s="48" t="str">
        <f t="shared" si="50"/>
        <v>-</v>
      </c>
      <c r="AC399" s="48" t="str">
        <f t="shared" si="51"/>
        <v>-</v>
      </c>
      <c r="AD399" s="48" t="str">
        <f t="shared" si="52"/>
        <v>-</v>
      </c>
      <c r="AE399" s="48" t="str">
        <f t="shared" si="53"/>
        <v>-</v>
      </c>
      <c r="AF399" s="48" t="str">
        <f t="shared" si="54"/>
        <v>-</v>
      </c>
      <c r="AG399" s="48" t="str">
        <f t="shared" si="55"/>
        <v>-</v>
      </c>
    </row>
    <row r="400" spans="1:33" ht="15" thickBot="1" x14ac:dyDescent="0.35">
      <c r="A400" s="574"/>
      <c r="B400" s="346" t="s">
        <v>571</v>
      </c>
      <c r="C400" s="347">
        <v>111</v>
      </c>
      <c r="D400" s="335"/>
      <c r="E400" s="348">
        <v>0.8</v>
      </c>
      <c r="F400" s="349">
        <v>0.6</v>
      </c>
      <c r="G400" s="349">
        <v>0.3</v>
      </c>
      <c r="H400" s="348">
        <v>0.8</v>
      </c>
      <c r="I400" s="347" t="s">
        <v>578</v>
      </c>
      <c r="J400" s="350"/>
      <c r="K400" s="336"/>
      <c r="L400" s="336"/>
      <c r="M400" s="336"/>
      <c r="N400" s="336"/>
      <c r="O400" s="336"/>
      <c r="P400" s="336"/>
      <c r="Q400" s="336"/>
      <c r="R400" s="336"/>
      <c r="S400" s="336"/>
      <c r="T400" s="336"/>
      <c r="U400" s="351"/>
      <c r="V400" s="352" t="s">
        <v>379</v>
      </c>
      <c r="W400" s="323"/>
      <c r="X400" s="324">
        <v>4.91</v>
      </c>
      <c r="Z400" s="48">
        <f t="shared" si="48"/>
        <v>4.91</v>
      </c>
      <c r="AA400" s="48" t="str">
        <f t="shared" si="49"/>
        <v>-</v>
      </c>
      <c r="AB400" s="48" t="str">
        <f t="shared" si="50"/>
        <v>-</v>
      </c>
      <c r="AC400" s="48" t="str">
        <f t="shared" si="51"/>
        <v>-</v>
      </c>
      <c r="AD400" s="48" t="str">
        <f t="shared" si="52"/>
        <v>-</v>
      </c>
      <c r="AE400" s="48" t="str">
        <f t="shared" si="53"/>
        <v>-</v>
      </c>
      <c r="AF400" s="48" t="str">
        <f t="shared" si="54"/>
        <v>-</v>
      </c>
      <c r="AG400" s="48" t="str">
        <f t="shared" si="55"/>
        <v>-</v>
      </c>
    </row>
    <row r="401" spans="1:33" ht="15" thickBot="1" x14ac:dyDescent="0.35">
      <c r="A401" s="574"/>
      <c r="B401" s="346" t="s">
        <v>571</v>
      </c>
      <c r="C401" s="347">
        <v>121</v>
      </c>
      <c r="D401" s="335"/>
      <c r="E401" s="348">
        <v>0.8</v>
      </c>
      <c r="F401" s="349">
        <v>0.6</v>
      </c>
      <c r="G401" s="349">
        <v>0.3</v>
      </c>
      <c r="H401" s="348">
        <v>0.8</v>
      </c>
      <c r="I401" s="347" t="s">
        <v>578</v>
      </c>
      <c r="J401" s="388"/>
      <c r="K401" s="336"/>
      <c r="L401" s="336"/>
      <c r="M401" s="336"/>
      <c r="N401" s="336"/>
      <c r="O401" s="336"/>
      <c r="P401" s="336"/>
      <c r="Q401" s="336"/>
      <c r="R401" s="336"/>
      <c r="S401" s="336"/>
      <c r="T401" s="336"/>
      <c r="U401" s="351"/>
      <c r="V401" s="352" t="s">
        <v>379</v>
      </c>
      <c r="W401" s="323"/>
      <c r="X401" s="324">
        <v>4.9400000000000004</v>
      </c>
      <c r="Z401" s="48">
        <f t="shared" si="48"/>
        <v>4.9400000000000004</v>
      </c>
      <c r="AA401" s="48" t="str">
        <f t="shared" si="49"/>
        <v>-</v>
      </c>
      <c r="AB401" s="48" t="str">
        <f t="shared" si="50"/>
        <v>-</v>
      </c>
      <c r="AC401" s="48" t="str">
        <f t="shared" si="51"/>
        <v>-</v>
      </c>
      <c r="AD401" s="48" t="str">
        <f t="shared" si="52"/>
        <v>-</v>
      </c>
      <c r="AE401" s="48" t="str">
        <f t="shared" si="53"/>
        <v>-</v>
      </c>
      <c r="AF401" s="48" t="str">
        <f t="shared" si="54"/>
        <v>-</v>
      </c>
      <c r="AG401" s="48" t="str">
        <f t="shared" si="55"/>
        <v>-</v>
      </c>
    </row>
    <row r="402" spans="1:33" ht="15" thickBot="1" x14ac:dyDescent="0.35">
      <c r="A402" s="574"/>
      <c r="B402" s="346" t="s">
        <v>571</v>
      </c>
      <c r="C402" s="347">
        <v>131</v>
      </c>
      <c r="D402" s="335"/>
      <c r="E402" s="348">
        <v>0.8</v>
      </c>
      <c r="F402" s="349">
        <v>0.6</v>
      </c>
      <c r="G402" s="349">
        <v>0.3</v>
      </c>
      <c r="H402" s="348">
        <v>0.8</v>
      </c>
      <c r="I402" s="347" t="s">
        <v>578</v>
      </c>
      <c r="J402" s="388"/>
      <c r="K402" s="336"/>
      <c r="L402" s="336"/>
      <c r="M402" s="336"/>
      <c r="N402" s="336"/>
      <c r="O402" s="336"/>
      <c r="P402" s="336"/>
      <c r="Q402" s="336"/>
      <c r="R402" s="336"/>
      <c r="S402" s="336"/>
      <c r="T402" s="336"/>
      <c r="U402" s="351"/>
      <c r="V402" s="352" t="s">
        <v>379</v>
      </c>
      <c r="W402" s="323"/>
      <c r="X402" s="324">
        <v>5.01</v>
      </c>
      <c r="Z402" s="48">
        <f t="shared" si="48"/>
        <v>5.01</v>
      </c>
      <c r="AA402" s="48" t="str">
        <f t="shared" si="49"/>
        <v>-</v>
      </c>
      <c r="AB402" s="48" t="str">
        <f t="shared" si="50"/>
        <v>-</v>
      </c>
      <c r="AC402" s="48" t="str">
        <f t="shared" si="51"/>
        <v>-</v>
      </c>
      <c r="AD402" s="48" t="str">
        <f t="shared" si="52"/>
        <v>-</v>
      </c>
      <c r="AE402" s="48" t="str">
        <f t="shared" si="53"/>
        <v>-</v>
      </c>
      <c r="AF402" s="48" t="str">
        <f t="shared" si="54"/>
        <v>-</v>
      </c>
      <c r="AG402" s="48" t="str">
        <f t="shared" si="55"/>
        <v>-</v>
      </c>
    </row>
    <row r="403" spans="1:33" ht="15" thickBot="1" x14ac:dyDescent="0.35">
      <c r="A403" s="574"/>
      <c r="B403" s="346" t="s">
        <v>571</v>
      </c>
      <c r="C403" s="347">
        <v>141</v>
      </c>
      <c r="D403" s="335"/>
      <c r="E403" s="348">
        <v>0.8</v>
      </c>
      <c r="F403" s="349">
        <v>0.6</v>
      </c>
      <c r="G403" s="349">
        <v>0.3</v>
      </c>
      <c r="H403" s="348">
        <v>0.8</v>
      </c>
      <c r="I403" s="347" t="s">
        <v>578</v>
      </c>
      <c r="J403" s="388"/>
      <c r="K403" s="336"/>
      <c r="L403" s="336"/>
      <c r="M403" s="336"/>
      <c r="N403" s="336"/>
      <c r="O403" s="336"/>
      <c r="P403" s="336"/>
      <c r="Q403" s="336"/>
      <c r="R403" s="336"/>
      <c r="S403" s="336"/>
      <c r="T403" s="336"/>
      <c r="U403" s="351"/>
      <c r="V403" s="352" t="s">
        <v>379</v>
      </c>
      <c r="W403" s="323"/>
      <c r="X403" s="324">
        <v>4.96</v>
      </c>
      <c r="Z403" s="48">
        <f t="shared" si="48"/>
        <v>4.96</v>
      </c>
      <c r="AA403" s="48" t="str">
        <f t="shared" si="49"/>
        <v>-</v>
      </c>
      <c r="AB403" s="48" t="str">
        <f t="shared" si="50"/>
        <v>-</v>
      </c>
      <c r="AC403" s="48" t="str">
        <f t="shared" si="51"/>
        <v>-</v>
      </c>
      <c r="AD403" s="48" t="str">
        <f t="shared" si="52"/>
        <v>-</v>
      </c>
      <c r="AE403" s="48" t="str">
        <f t="shared" si="53"/>
        <v>-</v>
      </c>
      <c r="AF403" s="48" t="str">
        <f t="shared" si="54"/>
        <v>-</v>
      </c>
      <c r="AG403" s="48" t="str">
        <f t="shared" si="55"/>
        <v>-</v>
      </c>
    </row>
    <row r="404" spans="1:33" ht="15" thickBot="1" x14ac:dyDescent="0.35">
      <c r="A404" s="574"/>
      <c r="B404" s="346" t="s">
        <v>571</v>
      </c>
      <c r="C404" s="347">
        <v>151</v>
      </c>
      <c r="D404" s="335"/>
      <c r="E404" s="348">
        <v>0.8</v>
      </c>
      <c r="F404" s="349">
        <v>0.6</v>
      </c>
      <c r="G404" s="349">
        <v>0.3</v>
      </c>
      <c r="H404" s="348">
        <v>0.8</v>
      </c>
      <c r="I404" s="347" t="s">
        <v>578</v>
      </c>
      <c r="J404" s="388"/>
      <c r="K404" s="336"/>
      <c r="L404" s="336"/>
      <c r="M404" s="336"/>
      <c r="N404" s="336"/>
      <c r="O404" s="336"/>
      <c r="P404" s="336"/>
      <c r="Q404" s="336"/>
      <c r="R404" s="336"/>
      <c r="S404" s="336"/>
      <c r="T404" s="336"/>
      <c r="U404" s="351"/>
      <c r="V404" s="352" t="s">
        <v>379</v>
      </c>
      <c r="W404" s="323"/>
      <c r="X404" s="324">
        <v>4.97</v>
      </c>
      <c r="Z404" s="48">
        <f t="shared" si="48"/>
        <v>4.97</v>
      </c>
      <c r="AA404" s="48" t="str">
        <f t="shared" si="49"/>
        <v>-</v>
      </c>
      <c r="AB404" s="48" t="str">
        <f t="shared" si="50"/>
        <v>-</v>
      </c>
      <c r="AC404" s="48" t="str">
        <f t="shared" si="51"/>
        <v>-</v>
      </c>
      <c r="AD404" s="48" t="str">
        <f t="shared" si="52"/>
        <v>-</v>
      </c>
      <c r="AE404" s="48" t="str">
        <f t="shared" si="53"/>
        <v>-</v>
      </c>
      <c r="AF404" s="48" t="str">
        <f t="shared" si="54"/>
        <v>-</v>
      </c>
      <c r="AG404" s="48" t="str">
        <f t="shared" si="55"/>
        <v>-</v>
      </c>
    </row>
    <row r="405" spans="1:33" ht="15" thickBot="1" x14ac:dyDescent="0.35">
      <c r="A405" s="574"/>
      <c r="B405" s="346" t="s">
        <v>571</v>
      </c>
      <c r="C405" s="347">
        <v>161</v>
      </c>
      <c r="D405" s="335"/>
      <c r="E405" s="348">
        <v>0.8</v>
      </c>
      <c r="F405" s="349">
        <v>0.6</v>
      </c>
      <c r="G405" s="349">
        <v>0.3</v>
      </c>
      <c r="H405" s="348">
        <v>0.8</v>
      </c>
      <c r="I405" s="347" t="s">
        <v>578</v>
      </c>
      <c r="J405" s="388"/>
      <c r="K405" s="336"/>
      <c r="L405" s="336"/>
      <c r="M405" s="336"/>
      <c r="N405" s="336"/>
      <c r="O405" s="336"/>
      <c r="P405" s="336"/>
      <c r="Q405" s="336"/>
      <c r="R405" s="336"/>
      <c r="S405" s="336"/>
      <c r="T405" s="336"/>
      <c r="U405" s="351"/>
      <c r="V405" s="352" t="s">
        <v>379</v>
      </c>
      <c r="W405" s="323"/>
      <c r="X405" s="324">
        <v>4.87</v>
      </c>
      <c r="Z405" s="48">
        <f t="shared" si="48"/>
        <v>4.87</v>
      </c>
      <c r="AA405" s="48" t="str">
        <f t="shared" si="49"/>
        <v>-</v>
      </c>
      <c r="AB405" s="48" t="str">
        <f t="shared" si="50"/>
        <v>-</v>
      </c>
      <c r="AC405" s="48" t="str">
        <f t="shared" si="51"/>
        <v>-</v>
      </c>
      <c r="AD405" s="48" t="str">
        <f t="shared" si="52"/>
        <v>-</v>
      </c>
      <c r="AE405" s="48" t="str">
        <f t="shared" si="53"/>
        <v>-</v>
      </c>
      <c r="AF405" s="48" t="str">
        <f t="shared" si="54"/>
        <v>-</v>
      </c>
      <c r="AG405" s="48" t="str">
        <f t="shared" si="55"/>
        <v>-</v>
      </c>
    </row>
    <row r="406" spans="1:33" ht="15" thickBot="1" x14ac:dyDescent="0.35">
      <c r="A406" s="574"/>
      <c r="B406" s="346" t="s">
        <v>571</v>
      </c>
      <c r="C406" s="347">
        <v>171</v>
      </c>
      <c r="D406" s="335"/>
      <c r="E406" s="348">
        <v>0.8</v>
      </c>
      <c r="F406" s="349">
        <v>0.6</v>
      </c>
      <c r="G406" s="349">
        <v>0.3</v>
      </c>
      <c r="H406" s="348">
        <v>0.8</v>
      </c>
      <c r="I406" s="347" t="s">
        <v>578</v>
      </c>
      <c r="J406" s="388"/>
      <c r="K406" s="336"/>
      <c r="L406" s="336"/>
      <c r="M406" s="336"/>
      <c r="N406" s="336"/>
      <c r="O406" s="336"/>
      <c r="P406" s="336"/>
      <c r="Q406" s="336"/>
      <c r="R406" s="336"/>
      <c r="S406" s="336"/>
      <c r="T406" s="336"/>
      <c r="U406" s="351"/>
      <c r="V406" s="352" t="s">
        <v>379</v>
      </c>
      <c r="W406" s="323"/>
      <c r="X406" s="324">
        <v>4.83</v>
      </c>
      <c r="Z406" s="48">
        <f t="shared" si="48"/>
        <v>4.83</v>
      </c>
      <c r="AA406" s="48" t="str">
        <f t="shared" si="49"/>
        <v>-</v>
      </c>
      <c r="AB406" s="48" t="str">
        <f t="shared" si="50"/>
        <v>-</v>
      </c>
      <c r="AC406" s="48" t="str">
        <f t="shared" si="51"/>
        <v>-</v>
      </c>
      <c r="AD406" s="48" t="str">
        <f t="shared" si="52"/>
        <v>-</v>
      </c>
      <c r="AE406" s="48" t="str">
        <f t="shared" si="53"/>
        <v>-</v>
      </c>
      <c r="AF406" s="48" t="str">
        <f t="shared" si="54"/>
        <v>-</v>
      </c>
      <c r="AG406" s="48" t="str">
        <f t="shared" si="55"/>
        <v>-</v>
      </c>
    </row>
    <row r="407" spans="1:33" ht="15" thickBot="1" x14ac:dyDescent="0.35">
      <c r="A407" s="574"/>
      <c r="B407" s="346" t="s">
        <v>571</v>
      </c>
      <c r="C407" s="347">
        <v>181</v>
      </c>
      <c r="D407" s="335"/>
      <c r="E407" s="348">
        <v>0.8</v>
      </c>
      <c r="F407" s="349">
        <v>0.6</v>
      </c>
      <c r="G407" s="349">
        <v>0.3</v>
      </c>
      <c r="H407" s="348">
        <v>0.8</v>
      </c>
      <c r="I407" s="347" t="s">
        <v>578</v>
      </c>
      <c r="J407" s="388"/>
      <c r="K407" s="336"/>
      <c r="L407" s="336"/>
      <c r="M407" s="336"/>
      <c r="N407" s="336"/>
      <c r="O407" s="336"/>
      <c r="P407" s="336"/>
      <c r="Q407" s="336"/>
      <c r="R407" s="336"/>
      <c r="S407" s="336"/>
      <c r="T407" s="336"/>
      <c r="U407" s="351"/>
      <c r="V407" s="352" t="s">
        <v>379</v>
      </c>
      <c r="W407" s="323"/>
      <c r="X407" s="324">
        <v>4.79</v>
      </c>
      <c r="Z407" s="48">
        <f t="shared" si="48"/>
        <v>4.79</v>
      </c>
      <c r="AA407" s="48" t="str">
        <f t="shared" si="49"/>
        <v>-</v>
      </c>
      <c r="AB407" s="48" t="str">
        <f t="shared" si="50"/>
        <v>-</v>
      </c>
      <c r="AC407" s="48" t="str">
        <f t="shared" si="51"/>
        <v>-</v>
      </c>
      <c r="AD407" s="48" t="str">
        <f t="shared" si="52"/>
        <v>-</v>
      </c>
      <c r="AE407" s="48" t="str">
        <f t="shared" si="53"/>
        <v>-</v>
      </c>
      <c r="AF407" s="48" t="str">
        <f t="shared" si="54"/>
        <v>-</v>
      </c>
      <c r="AG407" s="48" t="str">
        <f t="shared" si="55"/>
        <v>-</v>
      </c>
    </row>
    <row r="408" spans="1:33" ht="15" thickBot="1" x14ac:dyDescent="0.35">
      <c r="A408" s="574"/>
      <c r="B408" s="346" t="s">
        <v>545</v>
      </c>
      <c r="C408" s="347">
        <v>389</v>
      </c>
      <c r="D408" s="335"/>
      <c r="E408" s="348">
        <v>0.8</v>
      </c>
      <c r="F408" s="349">
        <v>0.6</v>
      </c>
      <c r="G408" s="349">
        <v>0.3</v>
      </c>
      <c r="H408" s="348">
        <v>0.8</v>
      </c>
      <c r="I408" s="347" t="s">
        <v>578</v>
      </c>
      <c r="J408" s="388"/>
      <c r="K408" s="336"/>
      <c r="L408" s="336"/>
      <c r="M408" s="336"/>
      <c r="N408" s="336"/>
      <c r="O408" s="336"/>
      <c r="P408" s="336"/>
      <c r="Q408" s="336"/>
      <c r="R408" s="336"/>
      <c r="S408" s="336"/>
      <c r="T408" s="336"/>
      <c r="U408" s="351"/>
      <c r="V408" s="352" t="s">
        <v>379</v>
      </c>
      <c r="W408" s="323"/>
      <c r="X408" s="324">
        <v>7.24</v>
      </c>
      <c r="Z408" s="48">
        <f t="shared" si="48"/>
        <v>7.24</v>
      </c>
      <c r="AA408" s="48" t="str">
        <f t="shared" si="49"/>
        <v>-</v>
      </c>
      <c r="AB408" s="48" t="str">
        <f t="shared" si="50"/>
        <v>-</v>
      </c>
      <c r="AC408" s="48" t="str">
        <f t="shared" si="51"/>
        <v>-</v>
      </c>
      <c r="AD408" s="48" t="str">
        <f t="shared" si="52"/>
        <v>-</v>
      </c>
      <c r="AE408" s="48" t="str">
        <f t="shared" si="53"/>
        <v>-</v>
      </c>
      <c r="AF408" s="48" t="str">
        <f t="shared" si="54"/>
        <v>-</v>
      </c>
      <c r="AG408" s="48" t="str">
        <f t="shared" si="55"/>
        <v>-</v>
      </c>
    </row>
    <row r="409" spans="1:33" ht="15" thickBot="1" x14ac:dyDescent="0.35">
      <c r="A409" s="574"/>
      <c r="B409" s="346" t="s">
        <v>545</v>
      </c>
      <c r="C409" s="347">
        <v>397</v>
      </c>
      <c r="D409" s="335"/>
      <c r="E409" s="348">
        <v>0.8</v>
      </c>
      <c r="F409" s="349">
        <v>0.6</v>
      </c>
      <c r="G409" s="349">
        <v>0.3</v>
      </c>
      <c r="H409" s="348">
        <v>0.8</v>
      </c>
      <c r="I409" s="347" t="s">
        <v>578</v>
      </c>
      <c r="J409" s="388"/>
      <c r="K409" s="336"/>
      <c r="L409" s="336"/>
      <c r="M409" s="336"/>
      <c r="N409" s="336"/>
      <c r="O409" s="336"/>
      <c r="P409" s="336"/>
      <c r="Q409" s="336"/>
      <c r="R409" s="336"/>
      <c r="S409" s="336"/>
      <c r="T409" s="336"/>
      <c r="U409" s="351"/>
      <c r="V409" s="352" t="s">
        <v>379</v>
      </c>
      <c r="W409" s="323"/>
      <c r="X409" s="324">
        <v>6.55</v>
      </c>
      <c r="Z409" s="48">
        <f t="shared" si="48"/>
        <v>6.55</v>
      </c>
      <c r="AA409" s="48" t="str">
        <f t="shared" si="49"/>
        <v>-</v>
      </c>
      <c r="AB409" s="48" t="str">
        <f t="shared" si="50"/>
        <v>-</v>
      </c>
      <c r="AC409" s="48" t="str">
        <f t="shared" si="51"/>
        <v>-</v>
      </c>
      <c r="AD409" s="48" t="str">
        <f t="shared" si="52"/>
        <v>-</v>
      </c>
      <c r="AE409" s="48" t="str">
        <f t="shared" si="53"/>
        <v>-</v>
      </c>
      <c r="AF409" s="48" t="str">
        <f t="shared" si="54"/>
        <v>-</v>
      </c>
      <c r="AG409" s="48" t="str">
        <f t="shared" si="55"/>
        <v>-</v>
      </c>
    </row>
    <row r="410" spans="1:33" ht="15" thickBot="1" x14ac:dyDescent="0.35">
      <c r="A410" s="574"/>
      <c r="B410" s="346" t="s">
        <v>572</v>
      </c>
      <c r="C410" s="347">
        <v>380</v>
      </c>
      <c r="D410" s="335"/>
      <c r="E410" s="348">
        <v>0.8</v>
      </c>
      <c r="F410" s="349">
        <v>0.6</v>
      </c>
      <c r="G410" s="349">
        <v>0.3</v>
      </c>
      <c r="H410" s="348">
        <v>0.8</v>
      </c>
      <c r="I410" s="347" t="s">
        <v>578</v>
      </c>
      <c r="J410" s="350"/>
      <c r="K410" s="336"/>
      <c r="L410" s="336"/>
      <c r="M410" s="336"/>
      <c r="N410" s="336"/>
      <c r="O410" s="336"/>
      <c r="P410" s="336"/>
      <c r="Q410" s="336"/>
      <c r="R410" s="336"/>
      <c r="S410" s="336"/>
      <c r="T410" s="336"/>
      <c r="U410" s="351"/>
      <c r="V410" s="352" t="s">
        <v>379</v>
      </c>
      <c r="W410" s="323"/>
      <c r="X410" s="324">
        <v>6.93</v>
      </c>
      <c r="Z410" s="48">
        <f t="shared" si="48"/>
        <v>6.93</v>
      </c>
      <c r="AA410" s="48" t="str">
        <f t="shared" si="49"/>
        <v>-</v>
      </c>
      <c r="AB410" s="48" t="str">
        <f t="shared" si="50"/>
        <v>-</v>
      </c>
      <c r="AC410" s="48" t="str">
        <f t="shared" si="51"/>
        <v>-</v>
      </c>
      <c r="AD410" s="48" t="str">
        <f t="shared" si="52"/>
        <v>-</v>
      </c>
      <c r="AE410" s="48" t="str">
        <f t="shared" si="53"/>
        <v>-</v>
      </c>
      <c r="AF410" s="48" t="str">
        <f t="shared" si="54"/>
        <v>-</v>
      </c>
      <c r="AG410" s="48" t="str">
        <f t="shared" si="55"/>
        <v>-</v>
      </c>
    </row>
    <row r="411" spans="1:33" ht="15" thickBot="1" x14ac:dyDescent="0.35">
      <c r="A411" s="574"/>
      <c r="B411" s="346" t="s">
        <v>572</v>
      </c>
      <c r="C411" s="347">
        <v>370</v>
      </c>
      <c r="D411" s="335"/>
      <c r="E411" s="348">
        <v>0.8</v>
      </c>
      <c r="F411" s="349">
        <v>0.6</v>
      </c>
      <c r="G411" s="349">
        <v>0.3</v>
      </c>
      <c r="H411" s="348">
        <v>0.8</v>
      </c>
      <c r="I411" s="347" t="s">
        <v>578</v>
      </c>
      <c r="J411" s="350"/>
      <c r="K411" s="336"/>
      <c r="L411" s="336"/>
      <c r="M411" s="336"/>
      <c r="N411" s="336"/>
      <c r="O411" s="336"/>
      <c r="P411" s="336"/>
      <c r="Q411" s="336"/>
      <c r="R411" s="336"/>
      <c r="S411" s="336"/>
      <c r="T411" s="336"/>
      <c r="U411" s="351"/>
      <c r="V411" s="352" t="s">
        <v>379</v>
      </c>
      <c r="W411" s="323"/>
      <c r="X411" s="324">
        <v>6.93</v>
      </c>
      <c r="Z411" s="48">
        <f t="shared" si="48"/>
        <v>6.93</v>
      </c>
      <c r="AA411" s="48" t="str">
        <f t="shared" si="49"/>
        <v>-</v>
      </c>
      <c r="AB411" s="48" t="str">
        <f t="shared" si="50"/>
        <v>-</v>
      </c>
      <c r="AC411" s="48" t="str">
        <f t="shared" si="51"/>
        <v>-</v>
      </c>
      <c r="AD411" s="48" t="str">
        <f t="shared" si="52"/>
        <v>-</v>
      </c>
      <c r="AE411" s="48" t="str">
        <f t="shared" si="53"/>
        <v>-</v>
      </c>
      <c r="AF411" s="48" t="str">
        <f t="shared" si="54"/>
        <v>-</v>
      </c>
      <c r="AG411" s="48" t="str">
        <f t="shared" si="55"/>
        <v>-</v>
      </c>
    </row>
    <row r="412" spans="1:33" ht="15" thickBot="1" x14ac:dyDescent="0.35">
      <c r="A412" s="574"/>
      <c r="B412" s="346" t="s">
        <v>572</v>
      </c>
      <c r="C412" s="347">
        <v>360</v>
      </c>
      <c r="D412" s="335"/>
      <c r="E412" s="348">
        <v>0.8</v>
      </c>
      <c r="F412" s="349">
        <v>0.6</v>
      </c>
      <c r="G412" s="349">
        <v>0.3</v>
      </c>
      <c r="H412" s="348">
        <v>0.8</v>
      </c>
      <c r="I412" s="347" t="s">
        <v>578</v>
      </c>
      <c r="J412" s="350"/>
      <c r="K412" s="336"/>
      <c r="L412" s="336"/>
      <c r="M412" s="336"/>
      <c r="N412" s="336"/>
      <c r="O412" s="336"/>
      <c r="P412" s="336"/>
      <c r="Q412" s="336"/>
      <c r="R412" s="336"/>
      <c r="S412" s="336"/>
      <c r="T412" s="336"/>
      <c r="U412" s="351"/>
      <c r="V412" s="352" t="s">
        <v>379</v>
      </c>
      <c r="W412" s="323"/>
      <c r="X412" s="324">
        <v>6.93</v>
      </c>
      <c r="Z412" s="48">
        <f t="shared" si="48"/>
        <v>6.93</v>
      </c>
      <c r="AA412" s="48" t="str">
        <f t="shared" si="49"/>
        <v>-</v>
      </c>
      <c r="AB412" s="48" t="str">
        <f t="shared" si="50"/>
        <v>-</v>
      </c>
      <c r="AC412" s="48" t="str">
        <f t="shared" si="51"/>
        <v>-</v>
      </c>
      <c r="AD412" s="48" t="str">
        <f t="shared" si="52"/>
        <v>-</v>
      </c>
      <c r="AE412" s="48" t="str">
        <f t="shared" si="53"/>
        <v>-</v>
      </c>
      <c r="AF412" s="48" t="str">
        <f t="shared" si="54"/>
        <v>-</v>
      </c>
      <c r="AG412" s="48" t="str">
        <f t="shared" si="55"/>
        <v>-</v>
      </c>
    </row>
    <row r="413" spans="1:33" ht="15" thickBot="1" x14ac:dyDescent="0.35">
      <c r="A413" s="574"/>
      <c r="B413" s="346" t="s">
        <v>572</v>
      </c>
      <c r="C413" s="347">
        <v>350</v>
      </c>
      <c r="D413" s="335"/>
      <c r="E413" s="348">
        <v>0.8</v>
      </c>
      <c r="F413" s="349">
        <v>0.6</v>
      </c>
      <c r="G413" s="349">
        <v>0.3</v>
      </c>
      <c r="H413" s="348">
        <v>0.8</v>
      </c>
      <c r="I413" s="347" t="s">
        <v>578</v>
      </c>
      <c r="J413" s="350"/>
      <c r="K413" s="336"/>
      <c r="L413" s="336"/>
      <c r="M413" s="336"/>
      <c r="N413" s="336"/>
      <c r="O413" s="336"/>
      <c r="P413" s="336"/>
      <c r="Q413" s="336"/>
      <c r="R413" s="336"/>
      <c r="S413" s="336"/>
      <c r="T413" s="336"/>
      <c r="U413" s="351"/>
      <c r="V413" s="352" t="s">
        <v>379</v>
      </c>
      <c r="W413" s="323"/>
      <c r="X413" s="324">
        <v>6.69</v>
      </c>
      <c r="Z413" s="48">
        <f t="shared" si="48"/>
        <v>6.69</v>
      </c>
      <c r="AA413" s="48" t="str">
        <f t="shared" si="49"/>
        <v>-</v>
      </c>
      <c r="AB413" s="48" t="str">
        <f t="shared" si="50"/>
        <v>-</v>
      </c>
      <c r="AC413" s="48" t="str">
        <f t="shared" si="51"/>
        <v>-</v>
      </c>
      <c r="AD413" s="48" t="str">
        <f t="shared" si="52"/>
        <v>-</v>
      </c>
      <c r="AE413" s="48" t="str">
        <f t="shared" si="53"/>
        <v>-</v>
      </c>
      <c r="AF413" s="48" t="str">
        <f t="shared" si="54"/>
        <v>-</v>
      </c>
      <c r="AG413" s="48" t="str">
        <f t="shared" si="55"/>
        <v>-</v>
      </c>
    </row>
    <row r="414" spans="1:33" ht="15" thickBot="1" x14ac:dyDescent="0.35">
      <c r="A414" s="574"/>
      <c r="B414" s="346" t="s">
        <v>572</v>
      </c>
      <c r="C414" s="347">
        <v>340</v>
      </c>
      <c r="D414" s="335"/>
      <c r="E414" s="348">
        <v>0.8</v>
      </c>
      <c r="F414" s="349">
        <v>0.6</v>
      </c>
      <c r="G414" s="349">
        <v>0.3</v>
      </c>
      <c r="H414" s="348">
        <v>0.8</v>
      </c>
      <c r="I414" s="347" t="s">
        <v>578</v>
      </c>
      <c r="J414" s="350"/>
      <c r="K414" s="336"/>
      <c r="L414" s="336"/>
      <c r="M414" s="336"/>
      <c r="N414" s="336"/>
      <c r="O414" s="336"/>
      <c r="P414" s="336"/>
      <c r="Q414" s="336"/>
      <c r="R414" s="336"/>
      <c r="S414" s="336"/>
      <c r="T414" s="336"/>
      <c r="U414" s="351"/>
      <c r="V414" s="352" t="s">
        <v>379</v>
      </c>
      <c r="W414" s="323"/>
      <c r="X414" s="324">
        <v>6.71</v>
      </c>
      <c r="Z414" s="48">
        <f t="shared" si="48"/>
        <v>6.71</v>
      </c>
      <c r="AA414" s="48" t="str">
        <f t="shared" si="49"/>
        <v>-</v>
      </c>
      <c r="AB414" s="48" t="str">
        <f t="shared" si="50"/>
        <v>-</v>
      </c>
      <c r="AC414" s="48" t="str">
        <f t="shared" si="51"/>
        <v>-</v>
      </c>
      <c r="AD414" s="48" t="str">
        <f t="shared" si="52"/>
        <v>-</v>
      </c>
      <c r="AE414" s="48" t="str">
        <f t="shared" si="53"/>
        <v>-</v>
      </c>
      <c r="AF414" s="48" t="str">
        <f t="shared" si="54"/>
        <v>-</v>
      </c>
      <c r="AG414" s="48" t="str">
        <f t="shared" si="55"/>
        <v>-</v>
      </c>
    </row>
    <row r="415" spans="1:33" ht="15" thickBot="1" x14ac:dyDescent="0.35">
      <c r="A415" s="574"/>
      <c r="B415" s="346" t="s">
        <v>572</v>
      </c>
      <c r="C415" s="347">
        <v>330</v>
      </c>
      <c r="D415" s="335"/>
      <c r="E415" s="348">
        <v>0.8</v>
      </c>
      <c r="F415" s="349">
        <v>0.6</v>
      </c>
      <c r="G415" s="349">
        <v>0.3</v>
      </c>
      <c r="H415" s="348">
        <v>0.8</v>
      </c>
      <c r="I415" s="347" t="s">
        <v>578</v>
      </c>
      <c r="J415" s="350"/>
      <c r="K415" s="336"/>
      <c r="L415" s="336"/>
      <c r="M415" s="336"/>
      <c r="N415" s="336"/>
      <c r="O415" s="336"/>
      <c r="P415" s="336"/>
      <c r="Q415" s="336"/>
      <c r="R415" s="336"/>
      <c r="S415" s="336"/>
      <c r="T415" s="336"/>
      <c r="U415" s="351"/>
      <c r="V415" s="352" t="s">
        <v>379</v>
      </c>
      <c r="W415" s="323"/>
      <c r="X415" s="324">
        <v>6.5</v>
      </c>
      <c r="Z415" s="48">
        <f t="shared" si="48"/>
        <v>6.5</v>
      </c>
      <c r="AA415" s="48" t="str">
        <f t="shared" si="49"/>
        <v>-</v>
      </c>
      <c r="AB415" s="48" t="str">
        <f t="shared" si="50"/>
        <v>-</v>
      </c>
      <c r="AC415" s="48" t="str">
        <f t="shared" si="51"/>
        <v>-</v>
      </c>
      <c r="AD415" s="48" t="str">
        <f t="shared" si="52"/>
        <v>-</v>
      </c>
      <c r="AE415" s="48" t="str">
        <f t="shared" si="53"/>
        <v>-</v>
      </c>
      <c r="AF415" s="48" t="str">
        <f t="shared" si="54"/>
        <v>-</v>
      </c>
      <c r="AG415" s="48" t="str">
        <f t="shared" si="55"/>
        <v>-</v>
      </c>
    </row>
    <row r="416" spans="1:33" ht="15" thickBot="1" x14ac:dyDescent="0.35">
      <c r="A416" s="574"/>
      <c r="B416" s="346" t="s">
        <v>572</v>
      </c>
      <c r="C416" s="347">
        <v>320</v>
      </c>
      <c r="D416" s="335"/>
      <c r="E416" s="348">
        <v>0.8</v>
      </c>
      <c r="F416" s="349">
        <v>0.6</v>
      </c>
      <c r="G416" s="349">
        <v>0.3</v>
      </c>
      <c r="H416" s="348">
        <v>0.8</v>
      </c>
      <c r="I416" s="347" t="s">
        <v>578</v>
      </c>
      <c r="J416" s="350"/>
      <c r="K416" s="336"/>
      <c r="L416" s="336"/>
      <c r="M416" s="336"/>
      <c r="N416" s="336"/>
      <c r="O416" s="336"/>
      <c r="P416" s="336"/>
      <c r="Q416" s="336"/>
      <c r="R416" s="336"/>
      <c r="S416" s="336"/>
      <c r="T416" s="336"/>
      <c r="U416" s="351"/>
      <c r="V416" s="352" t="s">
        <v>379</v>
      </c>
      <c r="W416" s="323"/>
      <c r="X416" s="324">
        <v>6.56</v>
      </c>
      <c r="Z416" s="48">
        <f t="shared" si="48"/>
        <v>6.56</v>
      </c>
      <c r="AA416" s="48" t="str">
        <f t="shared" si="49"/>
        <v>-</v>
      </c>
      <c r="AB416" s="48" t="str">
        <f t="shared" si="50"/>
        <v>-</v>
      </c>
      <c r="AC416" s="48" t="str">
        <f t="shared" si="51"/>
        <v>-</v>
      </c>
      <c r="AD416" s="48" t="str">
        <f t="shared" si="52"/>
        <v>-</v>
      </c>
      <c r="AE416" s="48" t="str">
        <f t="shared" si="53"/>
        <v>-</v>
      </c>
      <c r="AF416" s="48" t="str">
        <f t="shared" si="54"/>
        <v>-</v>
      </c>
      <c r="AG416" s="48" t="str">
        <f t="shared" si="55"/>
        <v>-</v>
      </c>
    </row>
    <row r="417" spans="1:33" ht="15" thickBot="1" x14ac:dyDescent="0.35">
      <c r="A417" s="574"/>
      <c r="B417" s="346" t="s">
        <v>572</v>
      </c>
      <c r="C417" s="347">
        <v>310</v>
      </c>
      <c r="D417" s="335"/>
      <c r="E417" s="348">
        <v>0.8</v>
      </c>
      <c r="F417" s="349">
        <v>0.6</v>
      </c>
      <c r="G417" s="349">
        <v>0.3</v>
      </c>
      <c r="H417" s="348">
        <v>0.8</v>
      </c>
      <c r="I417" s="347" t="s">
        <v>578</v>
      </c>
      <c r="J417" s="350"/>
      <c r="K417" s="336"/>
      <c r="L417" s="336"/>
      <c r="M417" s="336"/>
      <c r="N417" s="336"/>
      <c r="O417" s="336"/>
      <c r="P417" s="336"/>
      <c r="Q417" s="336"/>
      <c r="R417" s="336"/>
      <c r="S417" s="336"/>
      <c r="T417" s="336"/>
      <c r="U417" s="351"/>
      <c r="V417" s="352" t="s">
        <v>379</v>
      </c>
      <c r="W417" s="323"/>
      <c r="X417" s="324">
        <v>6.32</v>
      </c>
      <c r="Z417" s="48">
        <f t="shared" si="48"/>
        <v>6.32</v>
      </c>
      <c r="AA417" s="48" t="str">
        <f t="shared" si="49"/>
        <v>-</v>
      </c>
      <c r="AB417" s="48" t="str">
        <f t="shared" si="50"/>
        <v>-</v>
      </c>
      <c r="AC417" s="48" t="str">
        <f t="shared" si="51"/>
        <v>-</v>
      </c>
      <c r="AD417" s="48" t="str">
        <f t="shared" si="52"/>
        <v>-</v>
      </c>
      <c r="AE417" s="48" t="str">
        <f t="shared" si="53"/>
        <v>-</v>
      </c>
      <c r="AF417" s="48" t="str">
        <f t="shared" si="54"/>
        <v>-</v>
      </c>
      <c r="AG417" s="48" t="str">
        <f t="shared" si="55"/>
        <v>-</v>
      </c>
    </row>
    <row r="418" spans="1:33" ht="15" thickBot="1" x14ac:dyDescent="0.35">
      <c r="A418" s="577"/>
      <c r="B418" s="353" t="s">
        <v>572</v>
      </c>
      <c r="C418" s="354" t="s">
        <v>377</v>
      </c>
      <c r="D418" s="355"/>
      <c r="E418" s="356">
        <v>0.8</v>
      </c>
      <c r="F418" s="357">
        <v>0.6</v>
      </c>
      <c r="G418" s="357">
        <v>0.3</v>
      </c>
      <c r="H418" s="356">
        <v>0.8</v>
      </c>
      <c r="I418" s="354" t="s">
        <v>578</v>
      </c>
      <c r="J418" s="358"/>
      <c r="K418" s="359"/>
      <c r="L418" s="359"/>
      <c r="M418" s="359"/>
      <c r="N418" s="359"/>
      <c r="O418" s="359"/>
      <c r="P418" s="359"/>
      <c r="Q418" s="359"/>
      <c r="R418" s="359"/>
      <c r="S418" s="359"/>
      <c r="T418" s="359"/>
      <c r="U418" s="360"/>
      <c r="V418" s="361" t="s">
        <v>379</v>
      </c>
      <c r="W418" s="325"/>
      <c r="X418" s="326">
        <v>6.31</v>
      </c>
      <c r="Z418" s="48">
        <f t="shared" si="48"/>
        <v>6.31</v>
      </c>
      <c r="AA418" s="48" t="str">
        <f t="shared" si="49"/>
        <v>-</v>
      </c>
      <c r="AB418" s="48" t="str">
        <f t="shared" si="50"/>
        <v>-</v>
      </c>
      <c r="AC418" s="48" t="str">
        <f t="shared" si="51"/>
        <v>-</v>
      </c>
      <c r="AD418" s="48" t="str">
        <f t="shared" si="52"/>
        <v>-</v>
      </c>
      <c r="AE418" s="48" t="str">
        <f t="shared" si="53"/>
        <v>-</v>
      </c>
      <c r="AF418" s="48" t="str">
        <f t="shared" si="54"/>
        <v>-</v>
      </c>
      <c r="AG418" s="48" t="str">
        <f t="shared" si="55"/>
        <v>-</v>
      </c>
    </row>
    <row r="419" spans="1:33" ht="15" thickBot="1" x14ac:dyDescent="0.35">
      <c r="A419" s="573" t="s">
        <v>573</v>
      </c>
      <c r="B419" s="362" t="s">
        <v>572</v>
      </c>
      <c r="C419" s="363">
        <v>20</v>
      </c>
      <c r="D419" s="335"/>
      <c r="E419" s="364">
        <v>0.8</v>
      </c>
      <c r="F419" s="365">
        <v>0.6</v>
      </c>
      <c r="G419" s="365">
        <v>0.3</v>
      </c>
      <c r="H419" s="364">
        <v>0.8</v>
      </c>
      <c r="I419" s="363"/>
      <c r="J419" s="366" t="s">
        <v>578</v>
      </c>
      <c r="K419" s="336"/>
      <c r="L419" s="336"/>
      <c r="M419" s="336"/>
      <c r="N419" s="336"/>
      <c r="O419" s="336"/>
      <c r="P419" s="336"/>
      <c r="Q419" s="336"/>
      <c r="R419" s="336"/>
      <c r="S419" s="336"/>
      <c r="T419" s="336"/>
      <c r="U419" s="351"/>
      <c r="V419" s="352" t="s">
        <v>122</v>
      </c>
      <c r="W419" s="327"/>
      <c r="X419" s="328">
        <v>6.4</v>
      </c>
      <c r="Z419" s="48" t="str">
        <f t="shared" si="48"/>
        <v>-</v>
      </c>
      <c r="AA419" s="48">
        <f t="shared" si="49"/>
        <v>6.4</v>
      </c>
      <c r="AB419" s="48" t="str">
        <f t="shared" si="50"/>
        <v>-</v>
      </c>
      <c r="AC419" s="48" t="str">
        <f t="shared" si="51"/>
        <v>-</v>
      </c>
      <c r="AD419" s="48" t="str">
        <f t="shared" si="52"/>
        <v>-</v>
      </c>
      <c r="AE419" s="48" t="str">
        <f t="shared" si="53"/>
        <v>-</v>
      </c>
      <c r="AF419" s="48" t="str">
        <f t="shared" si="54"/>
        <v>-</v>
      </c>
      <c r="AG419" s="48" t="str">
        <f t="shared" si="55"/>
        <v>-</v>
      </c>
    </row>
    <row r="420" spans="1:33" ht="15" thickBot="1" x14ac:dyDescent="0.35">
      <c r="A420" s="574"/>
      <c r="B420" s="346" t="s">
        <v>572</v>
      </c>
      <c r="C420" s="347">
        <v>19</v>
      </c>
      <c r="D420" s="335"/>
      <c r="E420" s="348">
        <v>0.8</v>
      </c>
      <c r="F420" s="349">
        <v>0.6</v>
      </c>
      <c r="G420" s="349">
        <v>0.3</v>
      </c>
      <c r="H420" s="348">
        <v>0.8</v>
      </c>
      <c r="I420" s="347"/>
      <c r="J420" s="350" t="s">
        <v>578</v>
      </c>
      <c r="K420" s="336"/>
      <c r="L420" s="336"/>
      <c r="M420" s="336"/>
      <c r="N420" s="336"/>
      <c r="O420" s="336"/>
      <c r="P420" s="336"/>
      <c r="Q420" s="336"/>
      <c r="R420" s="336"/>
      <c r="S420" s="336"/>
      <c r="T420" s="336"/>
      <c r="U420" s="351"/>
      <c r="V420" s="352" t="s">
        <v>122</v>
      </c>
      <c r="W420" s="323"/>
      <c r="X420" s="324">
        <v>6.48</v>
      </c>
      <c r="Z420" s="48" t="str">
        <f t="shared" si="48"/>
        <v>-</v>
      </c>
      <c r="AA420" s="48">
        <f t="shared" si="49"/>
        <v>6.48</v>
      </c>
      <c r="AB420" s="48" t="str">
        <f t="shared" si="50"/>
        <v>-</v>
      </c>
      <c r="AC420" s="48" t="str">
        <f t="shared" si="51"/>
        <v>-</v>
      </c>
      <c r="AD420" s="48" t="str">
        <f t="shared" si="52"/>
        <v>-</v>
      </c>
      <c r="AE420" s="48" t="str">
        <f t="shared" si="53"/>
        <v>-</v>
      </c>
      <c r="AF420" s="48" t="str">
        <f t="shared" si="54"/>
        <v>-</v>
      </c>
      <c r="AG420" s="48" t="str">
        <f t="shared" si="55"/>
        <v>-</v>
      </c>
    </row>
    <row r="421" spans="1:33" ht="15" thickBot="1" x14ac:dyDescent="0.35">
      <c r="A421" s="574"/>
      <c r="B421" s="346" t="s">
        <v>572</v>
      </c>
      <c r="C421" s="347">
        <v>18</v>
      </c>
      <c r="D421" s="335"/>
      <c r="E421" s="348">
        <v>0.8</v>
      </c>
      <c r="F421" s="349">
        <v>0.6</v>
      </c>
      <c r="G421" s="349">
        <v>0.3</v>
      </c>
      <c r="H421" s="348">
        <v>0.8</v>
      </c>
      <c r="I421" s="347"/>
      <c r="J421" s="350" t="s">
        <v>578</v>
      </c>
      <c r="K421" s="336"/>
      <c r="L421" s="336"/>
      <c r="M421" s="336"/>
      <c r="N421" s="336"/>
      <c r="O421" s="336"/>
      <c r="P421" s="336"/>
      <c r="Q421" s="336"/>
      <c r="R421" s="336"/>
      <c r="S421" s="336"/>
      <c r="T421" s="336"/>
      <c r="U421" s="351"/>
      <c r="V421" s="352" t="s">
        <v>122</v>
      </c>
      <c r="W421" s="323"/>
      <c r="X421" s="324">
        <v>6.53</v>
      </c>
      <c r="Z421" s="48" t="str">
        <f t="shared" si="48"/>
        <v>-</v>
      </c>
      <c r="AA421" s="48">
        <f t="shared" si="49"/>
        <v>6.53</v>
      </c>
      <c r="AB421" s="48" t="str">
        <f t="shared" si="50"/>
        <v>-</v>
      </c>
      <c r="AC421" s="48" t="str">
        <f t="shared" si="51"/>
        <v>-</v>
      </c>
      <c r="AD421" s="48" t="str">
        <f t="shared" si="52"/>
        <v>-</v>
      </c>
      <c r="AE421" s="48" t="str">
        <f t="shared" si="53"/>
        <v>-</v>
      </c>
      <c r="AF421" s="48" t="str">
        <f t="shared" si="54"/>
        <v>-</v>
      </c>
      <c r="AG421" s="48" t="str">
        <f t="shared" si="55"/>
        <v>-</v>
      </c>
    </row>
    <row r="422" spans="1:33" ht="15" thickBot="1" x14ac:dyDescent="0.35">
      <c r="A422" s="574"/>
      <c r="B422" s="346" t="s">
        <v>572</v>
      </c>
      <c r="C422" s="347">
        <v>17</v>
      </c>
      <c r="D422" s="335"/>
      <c r="E422" s="348">
        <v>0.8</v>
      </c>
      <c r="F422" s="349">
        <v>0.6</v>
      </c>
      <c r="G422" s="349">
        <v>0.3</v>
      </c>
      <c r="H422" s="348">
        <v>0.8</v>
      </c>
      <c r="I422" s="347" t="s">
        <v>578</v>
      </c>
      <c r="J422" s="350"/>
      <c r="K422" s="336"/>
      <c r="L422" s="336"/>
      <c r="M422" s="336"/>
      <c r="N422" s="336"/>
      <c r="O422" s="336"/>
      <c r="P422" s="336"/>
      <c r="Q422" s="336"/>
      <c r="R422" s="336"/>
      <c r="S422" s="336"/>
      <c r="T422" s="336"/>
      <c r="U422" s="351"/>
      <c r="V422" s="352" t="s">
        <v>379</v>
      </c>
      <c r="W422" s="323"/>
      <c r="X422" s="324">
        <v>6.61</v>
      </c>
      <c r="Z422" s="48">
        <f t="shared" si="48"/>
        <v>6.61</v>
      </c>
      <c r="AA422" s="48" t="str">
        <f t="shared" si="49"/>
        <v>-</v>
      </c>
      <c r="AB422" s="48" t="str">
        <f t="shared" si="50"/>
        <v>-</v>
      </c>
      <c r="AC422" s="48" t="str">
        <f t="shared" si="51"/>
        <v>-</v>
      </c>
      <c r="AD422" s="48" t="str">
        <f t="shared" si="52"/>
        <v>-</v>
      </c>
      <c r="AE422" s="48" t="str">
        <f t="shared" si="53"/>
        <v>-</v>
      </c>
      <c r="AF422" s="48" t="str">
        <f t="shared" si="54"/>
        <v>-</v>
      </c>
      <c r="AG422" s="48" t="str">
        <f t="shared" si="55"/>
        <v>-</v>
      </c>
    </row>
    <row r="423" spans="1:33" ht="15" thickBot="1" x14ac:dyDescent="0.35">
      <c r="A423" s="574"/>
      <c r="B423" s="346" t="s">
        <v>572</v>
      </c>
      <c r="C423" s="347">
        <v>16</v>
      </c>
      <c r="D423" s="335"/>
      <c r="E423" s="348">
        <v>0.8</v>
      </c>
      <c r="F423" s="349">
        <v>0.6</v>
      </c>
      <c r="G423" s="349">
        <v>0.3</v>
      </c>
      <c r="H423" s="348">
        <v>0.8</v>
      </c>
      <c r="I423" s="347"/>
      <c r="J423" s="350" t="s">
        <v>578</v>
      </c>
      <c r="K423" s="336"/>
      <c r="L423" s="336"/>
      <c r="M423" s="336"/>
      <c r="N423" s="336"/>
      <c r="O423" s="336"/>
      <c r="P423" s="336"/>
      <c r="Q423" s="336"/>
      <c r="R423" s="336"/>
      <c r="S423" s="336"/>
      <c r="T423" s="336"/>
      <c r="U423" s="351"/>
      <c r="V423" s="352" t="s">
        <v>122</v>
      </c>
      <c r="W423" s="323"/>
      <c r="X423" s="324">
        <v>6.69</v>
      </c>
      <c r="Z423" s="48" t="str">
        <f t="shared" si="48"/>
        <v>-</v>
      </c>
      <c r="AA423" s="48">
        <f t="shared" si="49"/>
        <v>6.69</v>
      </c>
      <c r="AB423" s="48" t="str">
        <f t="shared" si="50"/>
        <v>-</v>
      </c>
      <c r="AC423" s="48" t="str">
        <f t="shared" si="51"/>
        <v>-</v>
      </c>
      <c r="AD423" s="48" t="str">
        <f t="shared" si="52"/>
        <v>-</v>
      </c>
      <c r="AE423" s="48" t="str">
        <f t="shared" si="53"/>
        <v>-</v>
      </c>
      <c r="AF423" s="48" t="str">
        <f t="shared" si="54"/>
        <v>-</v>
      </c>
      <c r="AG423" s="48" t="str">
        <f t="shared" si="55"/>
        <v>-</v>
      </c>
    </row>
    <row r="424" spans="1:33" ht="15" thickBot="1" x14ac:dyDescent="0.35">
      <c r="A424" s="574"/>
      <c r="B424" s="346" t="s">
        <v>572</v>
      </c>
      <c r="C424" s="347">
        <v>15</v>
      </c>
      <c r="D424" s="335"/>
      <c r="E424" s="348">
        <v>0.8</v>
      </c>
      <c r="F424" s="349">
        <v>0.6</v>
      </c>
      <c r="G424" s="349">
        <v>0.3</v>
      </c>
      <c r="H424" s="348">
        <v>0.8</v>
      </c>
      <c r="I424" s="347" t="s">
        <v>578</v>
      </c>
      <c r="J424" s="350"/>
      <c r="K424" s="336"/>
      <c r="L424" s="336"/>
      <c r="M424" s="336"/>
      <c r="N424" s="336"/>
      <c r="O424" s="336"/>
      <c r="P424" s="336"/>
      <c r="Q424" s="336"/>
      <c r="R424" s="336"/>
      <c r="S424" s="336"/>
      <c r="T424" s="336"/>
      <c r="U424" s="351"/>
      <c r="V424" s="352" t="s">
        <v>379</v>
      </c>
      <c r="W424" s="323"/>
      <c r="X424" s="324">
        <v>6.8</v>
      </c>
      <c r="Z424" s="48">
        <f t="shared" si="48"/>
        <v>6.8</v>
      </c>
      <c r="AA424" s="48" t="str">
        <f t="shared" si="49"/>
        <v>-</v>
      </c>
      <c r="AB424" s="48" t="str">
        <f t="shared" si="50"/>
        <v>-</v>
      </c>
      <c r="AC424" s="48" t="str">
        <f t="shared" si="51"/>
        <v>-</v>
      </c>
      <c r="AD424" s="48" t="str">
        <f t="shared" si="52"/>
        <v>-</v>
      </c>
      <c r="AE424" s="48" t="str">
        <f t="shared" si="53"/>
        <v>-</v>
      </c>
      <c r="AF424" s="48" t="str">
        <f t="shared" si="54"/>
        <v>-</v>
      </c>
      <c r="AG424" s="48" t="str">
        <f t="shared" si="55"/>
        <v>-</v>
      </c>
    </row>
    <row r="425" spans="1:33" ht="15" thickBot="1" x14ac:dyDescent="0.35">
      <c r="A425" s="574"/>
      <c r="B425" s="346" t="s">
        <v>572</v>
      </c>
      <c r="C425" s="347">
        <v>14</v>
      </c>
      <c r="D425" s="335"/>
      <c r="E425" s="348">
        <v>0.8</v>
      </c>
      <c r="F425" s="349">
        <v>0.6</v>
      </c>
      <c r="G425" s="349">
        <v>0.3</v>
      </c>
      <c r="H425" s="348">
        <v>0.8</v>
      </c>
      <c r="I425" s="347"/>
      <c r="J425" s="350" t="s">
        <v>578</v>
      </c>
      <c r="K425" s="336"/>
      <c r="L425" s="336"/>
      <c r="M425" s="336"/>
      <c r="N425" s="336"/>
      <c r="O425" s="336"/>
      <c r="P425" s="336"/>
      <c r="Q425" s="336"/>
      <c r="R425" s="336"/>
      <c r="S425" s="336"/>
      <c r="T425" s="336"/>
      <c r="U425" s="351"/>
      <c r="V425" s="352" t="s">
        <v>122</v>
      </c>
      <c r="W425" s="323"/>
      <c r="X425" s="324">
        <v>6.76</v>
      </c>
      <c r="Z425" s="48" t="str">
        <f t="shared" si="48"/>
        <v>-</v>
      </c>
      <c r="AA425" s="48">
        <f t="shared" si="49"/>
        <v>6.76</v>
      </c>
      <c r="AB425" s="48" t="str">
        <f t="shared" si="50"/>
        <v>-</v>
      </c>
      <c r="AC425" s="48" t="str">
        <f t="shared" si="51"/>
        <v>-</v>
      </c>
      <c r="AD425" s="48" t="str">
        <f t="shared" si="52"/>
        <v>-</v>
      </c>
      <c r="AE425" s="48" t="str">
        <f t="shared" si="53"/>
        <v>-</v>
      </c>
      <c r="AF425" s="48" t="str">
        <f t="shared" si="54"/>
        <v>-</v>
      </c>
      <c r="AG425" s="48" t="str">
        <f t="shared" si="55"/>
        <v>-</v>
      </c>
    </row>
    <row r="426" spans="1:33" ht="15" thickBot="1" x14ac:dyDescent="0.35">
      <c r="A426" s="574"/>
      <c r="B426" s="346" t="s">
        <v>572</v>
      </c>
      <c r="C426" s="347">
        <v>13</v>
      </c>
      <c r="D426" s="335"/>
      <c r="E426" s="348">
        <v>0.8</v>
      </c>
      <c r="F426" s="349">
        <v>0.6</v>
      </c>
      <c r="G426" s="349">
        <v>0.3</v>
      </c>
      <c r="H426" s="348">
        <v>0.8</v>
      </c>
      <c r="I426" s="347" t="s">
        <v>578</v>
      </c>
      <c r="J426" s="350"/>
      <c r="K426" s="336"/>
      <c r="L426" s="336"/>
      <c r="M426" s="336"/>
      <c r="N426" s="336"/>
      <c r="O426" s="336"/>
      <c r="P426" s="336"/>
      <c r="Q426" s="336"/>
      <c r="R426" s="336"/>
      <c r="S426" s="336"/>
      <c r="T426" s="336"/>
      <c r="U426" s="351"/>
      <c r="V426" s="352" t="s">
        <v>379</v>
      </c>
      <c r="W426" s="323"/>
      <c r="X426" s="324">
        <v>6.72</v>
      </c>
      <c r="Z426" s="48">
        <f t="shared" si="48"/>
        <v>6.72</v>
      </c>
      <c r="AA426" s="48" t="str">
        <f t="shared" si="49"/>
        <v>-</v>
      </c>
      <c r="AB426" s="48" t="str">
        <f t="shared" si="50"/>
        <v>-</v>
      </c>
      <c r="AC426" s="48" t="str">
        <f t="shared" si="51"/>
        <v>-</v>
      </c>
      <c r="AD426" s="48" t="str">
        <f t="shared" si="52"/>
        <v>-</v>
      </c>
      <c r="AE426" s="48" t="str">
        <f t="shared" si="53"/>
        <v>-</v>
      </c>
      <c r="AF426" s="48" t="str">
        <f t="shared" si="54"/>
        <v>-</v>
      </c>
      <c r="AG426" s="48" t="str">
        <f t="shared" si="55"/>
        <v>-</v>
      </c>
    </row>
    <row r="427" spans="1:33" ht="15" thickBot="1" x14ac:dyDescent="0.35">
      <c r="A427" s="574"/>
      <c r="B427" s="346" t="s">
        <v>572</v>
      </c>
      <c r="C427" s="347">
        <v>12</v>
      </c>
      <c r="D427" s="335"/>
      <c r="E427" s="348">
        <v>0.8</v>
      </c>
      <c r="F427" s="349">
        <v>0.6</v>
      </c>
      <c r="G427" s="349">
        <v>0.3</v>
      </c>
      <c r="H427" s="348">
        <v>0.8</v>
      </c>
      <c r="I427" s="347" t="s">
        <v>578</v>
      </c>
      <c r="J427" s="350"/>
      <c r="K427" s="336"/>
      <c r="L427" s="336"/>
      <c r="M427" s="336"/>
      <c r="N427" s="336"/>
      <c r="O427" s="336"/>
      <c r="P427" s="336"/>
      <c r="Q427" s="336"/>
      <c r="R427" s="336"/>
      <c r="S427" s="336"/>
      <c r="T427" s="336"/>
      <c r="U427" s="351"/>
      <c r="V427" s="352" t="s">
        <v>379</v>
      </c>
      <c r="W427" s="323"/>
      <c r="X427" s="324">
        <v>6.63</v>
      </c>
      <c r="Z427" s="48">
        <f t="shared" si="48"/>
        <v>6.63</v>
      </c>
      <c r="AA427" s="48" t="str">
        <f t="shared" si="49"/>
        <v>-</v>
      </c>
      <c r="AB427" s="48" t="str">
        <f t="shared" si="50"/>
        <v>-</v>
      </c>
      <c r="AC427" s="48" t="str">
        <f t="shared" si="51"/>
        <v>-</v>
      </c>
      <c r="AD427" s="48" t="str">
        <f t="shared" si="52"/>
        <v>-</v>
      </c>
      <c r="AE427" s="48" t="str">
        <f t="shared" si="53"/>
        <v>-</v>
      </c>
      <c r="AF427" s="48" t="str">
        <f t="shared" si="54"/>
        <v>-</v>
      </c>
      <c r="AG427" s="48" t="str">
        <f t="shared" si="55"/>
        <v>-</v>
      </c>
    </row>
    <row r="428" spans="1:33" ht="15" thickBot="1" x14ac:dyDescent="0.35">
      <c r="A428" s="574"/>
      <c r="B428" s="346" t="s">
        <v>572</v>
      </c>
      <c r="C428" s="347">
        <v>11</v>
      </c>
      <c r="D428" s="335"/>
      <c r="E428" s="348">
        <v>0.8</v>
      </c>
      <c r="F428" s="349">
        <v>0.6</v>
      </c>
      <c r="G428" s="349">
        <v>0.3</v>
      </c>
      <c r="H428" s="348">
        <v>0.8</v>
      </c>
      <c r="I428" s="347"/>
      <c r="J428" s="350" t="s">
        <v>578</v>
      </c>
      <c r="K428" s="336"/>
      <c r="L428" s="336"/>
      <c r="M428" s="336"/>
      <c r="N428" s="336"/>
      <c r="O428" s="336"/>
      <c r="P428" s="336"/>
      <c r="Q428" s="336"/>
      <c r="R428" s="336"/>
      <c r="S428" s="336"/>
      <c r="T428" s="336"/>
      <c r="U428" s="351"/>
      <c r="V428" s="352" t="s">
        <v>122</v>
      </c>
      <c r="W428" s="323"/>
      <c r="X428" s="324">
        <v>6.26</v>
      </c>
      <c r="Z428" s="48" t="str">
        <f t="shared" si="48"/>
        <v>-</v>
      </c>
      <c r="AA428" s="48">
        <f t="shared" si="49"/>
        <v>6.26</v>
      </c>
      <c r="AB428" s="48" t="str">
        <f t="shared" si="50"/>
        <v>-</v>
      </c>
      <c r="AC428" s="48" t="str">
        <f t="shared" si="51"/>
        <v>-</v>
      </c>
      <c r="AD428" s="48" t="str">
        <f t="shared" si="52"/>
        <v>-</v>
      </c>
      <c r="AE428" s="48" t="str">
        <f t="shared" si="53"/>
        <v>-</v>
      </c>
      <c r="AF428" s="48" t="str">
        <f t="shared" si="54"/>
        <v>-</v>
      </c>
      <c r="AG428" s="48" t="str">
        <f t="shared" si="55"/>
        <v>-</v>
      </c>
    </row>
    <row r="429" spans="1:33" ht="15" thickBot="1" x14ac:dyDescent="0.35">
      <c r="A429" s="574"/>
      <c r="B429" s="346" t="s">
        <v>572</v>
      </c>
      <c r="C429" s="347">
        <v>10</v>
      </c>
      <c r="D429" s="335"/>
      <c r="E429" s="348">
        <v>0.8</v>
      </c>
      <c r="F429" s="349">
        <v>0.6</v>
      </c>
      <c r="G429" s="349">
        <v>0.3</v>
      </c>
      <c r="H429" s="348">
        <v>0.8</v>
      </c>
      <c r="I429" s="347"/>
      <c r="J429" s="350" t="s">
        <v>578</v>
      </c>
      <c r="K429" s="336"/>
      <c r="L429" s="336"/>
      <c r="M429" s="336"/>
      <c r="N429" s="336"/>
      <c r="O429" s="336"/>
      <c r="P429" s="336"/>
      <c r="Q429" s="336"/>
      <c r="R429" s="336"/>
      <c r="S429" s="336"/>
      <c r="T429" s="336"/>
      <c r="U429" s="351"/>
      <c r="V429" s="352" t="s">
        <v>122</v>
      </c>
      <c r="W429" s="323"/>
      <c r="X429" s="324">
        <v>6.27</v>
      </c>
      <c r="Z429" s="48" t="str">
        <f t="shared" si="48"/>
        <v>-</v>
      </c>
      <c r="AA429" s="48">
        <f t="shared" si="49"/>
        <v>6.27</v>
      </c>
      <c r="AB429" s="48" t="str">
        <f t="shared" si="50"/>
        <v>-</v>
      </c>
      <c r="AC429" s="48" t="str">
        <f t="shared" si="51"/>
        <v>-</v>
      </c>
      <c r="AD429" s="48" t="str">
        <f t="shared" si="52"/>
        <v>-</v>
      </c>
      <c r="AE429" s="48" t="str">
        <f t="shared" si="53"/>
        <v>-</v>
      </c>
      <c r="AF429" s="48" t="str">
        <f t="shared" si="54"/>
        <v>-</v>
      </c>
      <c r="AG429" s="48" t="str">
        <f t="shared" si="55"/>
        <v>-</v>
      </c>
    </row>
    <row r="430" spans="1:33" ht="15" thickBot="1" x14ac:dyDescent="0.35">
      <c r="A430" s="574"/>
      <c r="B430" s="346" t="s">
        <v>572</v>
      </c>
      <c r="C430" s="347">
        <v>9</v>
      </c>
      <c r="D430" s="335"/>
      <c r="E430" s="348">
        <v>0.8</v>
      </c>
      <c r="F430" s="349">
        <v>0.6</v>
      </c>
      <c r="G430" s="349">
        <v>0.3</v>
      </c>
      <c r="H430" s="348">
        <v>0.8</v>
      </c>
      <c r="I430" s="347"/>
      <c r="J430" s="350" t="s">
        <v>578</v>
      </c>
      <c r="K430" s="336"/>
      <c r="L430" s="336"/>
      <c r="M430" s="336"/>
      <c r="N430" s="336"/>
      <c r="O430" s="336"/>
      <c r="P430" s="336"/>
      <c r="Q430" s="336"/>
      <c r="R430" s="336"/>
      <c r="S430" s="336"/>
      <c r="T430" s="336"/>
      <c r="U430" s="351"/>
      <c r="V430" s="352" t="s">
        <v>122</v>
      </c>
      <c r="W430" s="323"/>
      <c r="X430" s="324">
        <v>6.06</v>
      </c>
      <c r="Z430" s="48" t="str">
        <f t="shared" si="48"/>
        <v>-</v>
      </c>
      <c r="AA430" s="48">
        <f t="shared" si="49"/>
        <v>6.06</v>
      </c>
      <c r="AB430" s="48" t="str">
        <f t="shared" si="50"/>
        <v>-</v>
      </c>
      <c r="AC430" s="48" t="str">
        <f t="shared" si="51"/>
        <v>-</v>
      </c>
      <c r="AD430" s="48" t="str">
        <f t="shared" si="52"/>
        <v>-</v>
      </c>
      <c r="AE430" s="48" t="str">
        <f t="shared" si="53"/>
        <v>-</v>
      </c>
      <c r="AF430" s="48" t="str">
        <f t="shared" si="54"/>
        <v>-</v>
      </c>
      <c r="AG430" s="48" t="str">
        <f t="shared" si="55"/>
        <v>-</v>
      </c>
    </row>
    <row r="431" spans="1:33" ht="15" thickBot="1" x14ac:dyDescent="0.35">
      <c r="A431" s="574"/>
      <c r="B431" s="346" t="s">
        <v>572</v>
      </c>
      <c r="C431" s="347">
        <v>8</v>
      </c>
      <c r="D431" s="335"/>
      <c r="E431" s="348">
        <v>0.8</v>
      </c>
      <c r="F431" s="349">
        <v>0.6</v>
      </c>
      <c r="G431" s="349">
        <v>0.3</v>
      </c>
      <c r="H431" s="348">
        <v>0.8</v>
      </c>
      <c r="I431" s="347" t="s">
        <v>578</v>
      </c>
      <c r="J431" s="350"/>
      <c r="K431" s="336"/>
      <c r="L431" s="336"/>
      <c r="M431" s="336"/>
      <c r="N431" s="336"/>
      <c r="O431" s="336"/>
      <c r="P431" s="336"/>
      <c r="Q431" s="336"/>
      <c r="R431" s="336"/>
      <c r="S431" s="336"/>
      <c r="T431" s="336"/>
      <c r="U431" s="351"/>
      <c r="V431" s="352" t="s">
        <v>379</v>
      </c>
      <c r="W431" s="323"/>
      <c r="X431" s="324">
        <v>5.81</v>
      </c>
      <c r="Z431" s="48">
        <f t="shared" si="48"/>
        <v>5.81</v>
      </c>
      <c r="AA431" s="48" t="str">
        <f t="shared" si="49"/>
        <v>-</v>
      </c>
      <c r="AB431" s="48" t="str">
        <f t="shared" si="50"/>
        <v>-</v>
      </c>
      <c r="AC431" s="48" t="str">
        <f t="shared" si="51"/>
        <v>-</v>
      </c>
      <c r="AD431" s="48" t="str">
        <f t="shared" si="52"/>
        <v>-</v>
      </c>
      <c r="AE431" s="48" t="str">
        <f t="shared" si="53"/>
        <v>-</v>
      </c>
      <c r="AF431" s="48" t="str">
        <f t="shared" si="54"/>
        <v>-</v>
      </c>
      <c r="AG431" s="48" t="str">
        <f t="shared" si="55"/>
        <v>-</v>
      </c>
    </row>
    <row r="432" spans="1:33" ht="15" thickBot="1" x14ac:dyDescent="0.35">
      <c r="A432" s="574"/>
      <c r="B432" s="346" t="s">
        <v>572</v>
      </c>
      <c r="C432" s="347">
        <v>7</v>
      </c>
      <c r="D432" s="335"/>
      <c r="E432" s="348">
        <v>0.8</v>
      </c>
      <c r="F432" s="349">
        <v>0.6</v>
      </c>
      <c r="G432" s="349">
        <v>0.3</v>
      </c>
      <c r="H432" s="348">
        <v>0.8</v>
      </c>
      <c r="I432" s="347"/>
      <c r="J432" s="350" t="s">
        <v>578</v>
      </c>
      <c r="K432" s="336"/>
      <c r="L432" s="336"/>
      <c r="M432" s="336"/>
      <c r="N432" s="336"/>
      <c r="O432" s="336"/>
      <c r="P432" s="336"/>
      <c r="Q432" s="336"/>
      <c r="R432" s="336"/>
      <c r="S432" s="336"/>
      <c r="T432" s="336"/>
      <c r="U432" s="351"/>
      <c r="V432" s="352" t="s">
        <v>122</v>
      </c>
      <c r="W432" s="323"/>
      <c r="X432" s="324">
        <v>5.66</v>
      </c>
      <c r="Z432" s="48" t="str">
        <f t="shared" si="48"/>
        <v>-</v>
      </c>
      <c r="AA432" s="48">
        <f t="shared" si="49"/>
        <v>5.66</v>
      </c>
      <c r="AB432" s="48" t="str">
        <f t="shared" si="50"/>
        <v>-</v>
      </c>
      <c r="AC432" s="48" t="str">
        <f t="shared" si="51"/>
        <v>-</v>
      </c>
      <c r="AD432" s="48" t="str">
        <f t="shared" si="52"/>
        <v>-</v>
      </c>
      <c r="AE432" s="48" t="str">
        <f t="shared" si="53"/>
        <v>-</v>
      </c>
      <c r="AF432" s="48" t="str">
        <f t="shared" si="54"/>
        <v>-</v>
      </c>
      <c r="AG432" s="48" t="str">
        <f t="shared" si="55"/>
        <v>-</v>
      </c>
    </row>
    <row r="433" spans="1:33" ht="15" thickBot="1" x14ac:dyDescent="0.35">
      <c r="A433" s="574"/>
      <c r="B433" s="346" t="s">
        <v>572</v>
      </c>
      <c r="C433" s="347">
        <v>6</v>
      </c>
      <c r="D433" s="335"/>
      <c r="E433" s="348">
        <v>0.8</v>
      </c>
      <c r="F433" s="349">
        <v>0.6</v>
      </c>
      <c r="G433" s="349">
        <v>0.3</v>
      </c>
      <c r="H433" s="348">
        <v>0.8</v>
      </c>
      <c r="I433" s="347" t="s">
        <v>578</v>
      </c>
      <c r="J433" s="350"/>
      <c r="K433" s="336"/>
      <c r="L433" s="336"/>
      <c r="M433" s="336"/>
      <c r="N433" s="336"/>
      <c r="O433" s="336"/>
      <c r="P433" s="336"/>
      <c r="Q433" s="336"/>
      <c r="R433" s="336"/>
      <c r="S433" s="336"/>
      <c r="T433" s="336"/>
      <c r="U433" s="351"/>
      <c r="V433" s="352" t="s">
        <v>379</v>
      </c>
      <c r="W433" s="323"/>
      <c r="X433" s="324">
        <v>5.53</v>
      </c>
      <c r="Z433" s="48">
        <f t="shared" si="48"/>
        <v>5.53</v>
      </c>
      <c r="AA433" s="48" t="str">
        <f t="shared" si="49"/>
        <v>-</v>
      </c>
      <c r="AB433" s="48" t="str">
        <f t="shared" si="50"/>
        <v>-</v>
      </c>
      <c r="AC433" s="48" t="str">
        <f t="shared" si="51"/>
        <v>-</v>
      </c>
      <c r="AD433" s="48" t="str">
        <f t="shared" si="52"/>
        <v>-</v>
      </c>
      <c r="AE433" s="48" t="str">
        <f t="shared" si="53"/>
        <v>-</v>
      </c>
      <c r="AF433" s="48" t="str">
        <f t="shared" si="54"/>
        <v>-</v>
      </c>
      <c r="AG433" s="48" t="str">
        <f t="shared" si="55"/>
        <v>-</v>
      </c>
    </row>
    <row r="434" spans="1:33" ht="15" thickBot="1" x14ac:dyDescent="0.35">
      <c r="A434" s="574"/>
      <c r="B434" s="346" t="s">
        <v>572</v>
      </c>
      <c r="C434" s="347">
        <v>5</v>
      </c>
      <c r="D434" s="335"/>
      <c r="E434" s="348">
        <v>0.8</v>
      </c>
      <c r="F434" s="349">
        <v>0.6</v>
      </c>
      <c r="G434" s="349">
        <v>0.3</v>
      </c>
      <c r="H434" s="348">
        <v>0.8</v>
      </c>
      <c r="I434" s="347"/>
      <c r="J434" s="350" t="s">
        <v>578</v>
      </c>
      <c r="K434" s="336"/>
      <c r="L434" s="336"/>
      <c r="M434" s="336"/>
      <c r="N434" s="336"/>
      <c r="O434" s="336"/>
      <c r="P434" s="336"/>
      <c r="Q434" s="336"/>
      <c r="R434" s="336"/>
      <c r="S434" s="336"/>
      <c r="T434" s="336"/>
      <c r="U434" s="351"/>
      <c r="V434" s="352" t="s">
        <v>122</v>
      </c>
      <c r="W434" s="323"/>
      <c r="X434" s="324">
        <v>5.2</v>
      </c>
      <c r="Z434" s="48" t="str">
        <f t="shared" si="48"/>
        <v>-</v>
      </c>
      <c r="AA434" s="48">
        <f t="shared" si="49"/>
        <v>5.2</v>
      </c>
      <c r="AB434" s="48" t="str">
        <f t="shared" si="50"/>
        <v>-</v>
      </c>
      <c r="AC434" s="48" t="str">
        <f t="shared" si="51"/>
        <v>-</v>
      </c>
      <c r="AD434" s="48" t="str">
        <f t="shared" si="52"/>
        <v>-</v>
      </c>
      <c r="AE434" s="48" t="str">
        <f t="shared" si="53"/>
        <v>-</v>
      </c>
      <c r="AF434" s="48" t="str">
        <f t="shared" si="54"/>
        <v>-</v>
      </c>
      <c r="AG434" s="48" t="str">
        <f t="shared" si="55"/>
        <v>-</v>
      </c>
    </row>
    <row r="435" spans="1:33" ht="15" thickBot="1" x14ac:dyDescent="0.35">
      <c r="A435" s="574"/>
      <c r="B435" s="346" t="s">
        <v>572</v>
      </c>
      <c r="C435" s="347">
        <v>4</v>
      </c>
      <c r="D435" s="335"/>
      <c r="E435" s="348">
        <v>0.8</v>
      </c>
      <c r="F435" s="349">
        <v>0.6</v>
      </c>
      <c r="G435" s="349">
        <v>0.3</v>
      </c>
      <c r="H435" s="348">
        <v>0.8</v>
      </c>
      <c r="I435" s="347" t="s">
        <v>578</v>
      </c>
      <c r="J435" s="350"/>
      <c r="K435" s="336"/>
      <c r="L435" s="336"/>
      <c r="M435" s="336"/>
      <c r="N435" s="336"/>
      <c r="O435" s="336"/>
      <c r="P435" s="336"/>
      <c r="Q435" s="336"/>
      <c r="R435" s="336"/>
      <c r="S435" s="336"/>
      <c r="T435" s="336"/>
      <c r="U435" s="351"/>
      <c r="V435" s="352" t="s">
        <v>379</v>
      </c>
      <c r="W435" s="323"/>
      <c r="X435" s="324">
        <v>4.9000000000000004</v>
      </c>
      <c r="Z435" s="48">
        <f t="shared" si="48"/>
        <v>4.9000000000000004</v>
      </c>
      <c r="AA435" s="48" t="str">
        <f t="shared" si="49"/>
        <v>-</v>
      </c>
      <c r="AB435" s="48" t="str">
        <f t="shared" si="50"/>
        <v>-</v>
      </c>
      <c r="AC435" s="48" t="str">
        <f t="shared" si="51"/>
        <v>-</v>
      </c>
      <c r="AD435" s="48" t="str">
        <f t="shared" si="52"/>
        <v>-</v>
      </c>
      <c r="AE435" s="48" t="str">
        <f t="shared" si="53"/>
        <v>-</v>
      </c>
      <c r="AF435" s="48" t="str">
        <f t="shared" si="54"/>
        <v>-</v>
      </c>
      <c r="AG435" s="48" t="str">
        <f t="shared" si="55"/>
        <v>-</v>
      </c>
    </row>
    <row r="436" spans="1:33" ht="15" thickBot="1" x14ac:dyDescent="0.35">
      <c r="A436" s="574"/>
      <c r="B436" s="346" t="s">
        <v>572</v>
      </c>
      <c r="C436" s="347">
        <v>3</v>
      </c>
      <c r="D436" s="335"/>
      <c r="E436" s="348">
        <v>0.8</v>
      </c>
      <c r="F436" s="349">
        <v>0.6</v>
      </c>
      <c r="G436" s="349">
        <v>0.3</v>
      </c>
      <c r="H436" s="348">
        <v>0.8</v>
      </c>
      <c r="I436" s="347" t="s">
        <v>578</v>
      </c>
      <c r="J436" s="350"/>
      <c r="K436" s="336"/>
      <c r="L436" s="336"/>
      <c r="M436" s="336"/>
      <c r="N436" s="336"/>
      <c r="O436" s="336"/>
      <c r="P436" s="336"/>
      <c r="Q436" s="336"/>
      <c r="R436" s="336"/>
      <c r="S436" s="336"/>
      <c r="T436" s="336"/>
      <c r="U436" s="351"/>
      <c r="V436" s="352" t="s">
        <v>379</v>
      </c>
      <c r="W436" s="323"/>
      <c r="X436" s="324">
        <v>4.59</v>
      </c>
      <c r="Z436" s="48">
        <f t="shared" si="48"/>
        <v>4.59</v>
      </c>
      <c r="AA436" s="48" t="str">
        <f t="shared" si="49"/>
        <v>-</v>
      </c>
      <c r="AB436" s="48" t="str">
        <f t="shared" si="50"/>
        <v>-</v>
      </c>
      <c r="AC436" s="48" t="str">
        <f t="shared" si="51"/>
        <v>-</v>
      </c>
      <c r="AD436" s="48" t="str">
        <f t="shared" si="52"/>
        <v>-</v>
      </c>
      <c r="AE436" s="48" t="str">
        <f t="shared" si="53"/>
        <v>-</v>
      </c>
      <c r="AF436" s="48" t="str">
        <f t="shared" si="54"/>
        <v>-</v>
      </c>
      <c r="AG436" s="48" t="str">
        <f t="shared" si="55"/>
        <v>-</v>
      </c>
    </row>
    <row r="437" spans="1:33" ht="15" thickBot="1" x14ac:dyDescent="0.35">
      <c r="A437" s="574"/>
      <c r="B437" s="346" t="s">
        <v>572</v>
      </c>
      <c r="C437" s="347">
        <v>2</v>
      </c>
      <c r="D437" s="335"/>
      <c r="E437" s="348">
        <v>0.8</v>
      </c>
      <c r="F437" s="349">
        <v>0.6</v>
      </c>
      <c r="G437" s="349">
        <v>0.3</v>
      </c>
      <c r="H437" s="348">
        <v>0.8</v>
      </c>
      <c r="I437" s="347" t="s">
        <v>578</v>
      </c>
      <c r="J437" s="350"/>
      <c r="K437" s="336"/>
      <c r="L437" s="336"/>
      <c r="M437" s="336"/>
      <c r="N437" s="336"/>
      <c r="O437" s="336"/>
      <c r="P437" s="336"/>
      <c r="Q437" s="336"/>
      <c r="R437" s="336"/>
      <c r="S437" s="336"/>
      <c r="T437" s="336"/>
      <c r="U437" s="351"/>
      <c r="V437" s="352" t="s">
        <v>379</v>
      </c>
      <c r="W437" s="323"/>
      <c r="X437" s="324">
        <v>4.28</v>
      </c>
      <c r="Z437" s="48">
        <f t="shared" si="48"/>
        <v>4.28</v>
      </c>
      <c r="AA437" s="48" t="str">
        <f t="shared" si="49"/>
        <v>-</v>
      </c>
      <c r="AB437" s="48" t="str">
        <f t="shared" si="50"/>
        <v>-</v>
      </c>
      <c r="AC437" s="48" t="str">
        <f t="shared" si="51"/>
        <v>-</v>
      </c>
      <c r="AD437" s="48" t="str">
        <f t="shared" si="52"/>
        <v>-</v>
      </c>
      <c r="AE437" s="48" t="str">
        <f t="shared" si="53"/>
        <v>-</v>
      </c>
      <c r="AF437" s="48" t="str">
        <f t="shared" si="54"/>
        <v>-</v>
      </c>
      <c r="AG437" s="48" t="str">
        <f t="shared" si="55"/>
        <v>-</v>
      </c>
    </row>
    <row r="438" spans="1:33" ht="15" thickBot="1" x14ac:dyDescent="0.35">
      <c r="A438" s="575"/>
      <c r="B438" s="367" t="s">
        <v>572</v>
      </c>
      <c r="C438" s="368">
        <v>1</v>
      </c>
      <c r="D438" s="335"/>
      <c r="E438" s="369">
        <v>0.8</v>
      </c>
      <c r="F438" s="370">
        <v>0.6</v>
      </c>
      <c r="G438" s="370">
        <v>0.3</v>
      </c>
      <c r="H438" s="369">
        <v>0.8</v>
      </c>
      <c r="I438" s="368" t="s">
        <v>578</v>
      </c>
      <c r="J438" s="371"/>
      <c r="K438" s="336"/>
      <c r="L438" s="336"/>
      <c r="M438" s="336"/>
      <c r="N438" s="336"/>
      <c r="O438" s="336"/>
      <c r="P438" s="336"/>
      <c r="Q438" s="336"/>
      <c r="R438" s="336"/>
      <c r="S438" s="336"/>
      <c r="T438" s="336"/>
      <c r="U438" s="351"/>
      <c r="V438" s="352" t="s">
        <v>379</v>
      </c>
      <c r="W438" s="329"/>
      <c r="X438" s="330">
        <v>4.37</v>
      </c>
      <c r="Z438" s="48">
        <f t="shared" si="48"/>
        <v>4.37</v>
      </c>
      <c r="AA438" s="48" t="str">
        <f t="shared" si="49"/>
        <v>-</v>
      </c>
      <c r="AB438" s="48" t="str">
        <f t="shared" si="50"/>
        <v>-</v>
      </c>
      <c r="AC438" s="48" t="str">
        <f t="shared" si="51"/>
        <v>-</v>
      </c>
      <c r="AD438" s="48" t="str">
        <f t="shared" si="52"/>
        <v>-</v>
      </c>
      <c r="AE438" s="48" t="str">
        <f t="shared" si="53"/>
        <v>-</v>
      </c>
      <c r="AF438" s="48" t="str">
        <f t="shared" si="54"/>
        <v>-</v>
      </c>
      <c r="AG438" s="48" t="str">
        <f t="shared" si="55"/>
        <v>-</v>
      </c>
    </row>
    <row r="439" spans="1:33" ht="15" thickBot="1" x14ac:dyDescent="0.35">
      <c r="A439" s="576" t="s">
        <v>379</v>
      </c>
      <c r="B439" s="337" t="s">
        <v>569</v>
      </c>
      <c r="C439" s="338">
        <v>179</v>
      </c>
      <c r="D439" s="339"/>
      <c r="E439" s="340">
        <v>0.8</v>
      </c>
      <c r="F439" s="341">
        <v>0.6</v>
      </c>
      <c r="G439" s="341">
        <v>0.3</v>
      </c>
      <c r="H439" s="340">
        <v>0.8</v>
      </c>
      <c r="I439" s="338" t="s">
        <v>578</v>
      </c>
      <c r="J439" s="389"/>
      <c r="K439" s="343"/>
      <c r="L439" s="343"/>
      <c r="M439" s="343"/>
      <c r="N439" s="343"/>
      <c r="O439" s="343"/>
      <c r="P439" s="343"/>
      <c r="Q439" s="343"/>
      <c r="R439" s="343"/>
      <c r="S439" s="343"/>
      <c r="T439" s="343"/>
      <c r="U439" s="344"/>
      <c r="V439" s="345" t="s">
        <v>379</v>
      </c>
      <c r="W439" s="321">
        <v>1</v>
      </c>
      <c r="X439" s="322">
        <v>0.71</v>
      </c>
      <c r="Z439" s="48">
        <f t="shared" si="48"/>
        <v>0.71</v>
      </c>
      <c r="AA439" s="48" t="str">
        <f t="shared" si="49"/>
        <v>-</v>
      </c>
      <c r="AB439" s="48" t="str">
        <f t="shared" si="50"/>
        <v>-</v>
      </c>
      <c r="AC439" s="48" t="str">
        <f t="shared" si="51"/>
        <v>-</v>
      </c>
      <c r="AD439" s="48" t="str">
        <f t="shared" si="52"/>
        <v>-</v>
      </c>
      <c r="AE439" s="48" t="str">
        <f t="shared" si="53"/>
        <v>-</v>
      </c>
      <c r="AF439" s="48" t="str">
        <f t="shared" si="54"/>
        <v>-</v>
      </c>
      <c r="AG439" s="48" t="str">
        <f t="shared" si="55"/>
        <v>-</v>
      </c>
    </row>
    <row r="440" spans="1:33" ht="15" thickBot="1" x14ac:dyDescent="0.35">
      <c r="A440" s="574"/>
      <c r="B440" s="346" t="s">
        <v>569</v>
      </c>
      <c r="C440" s="347">
        <v>179</v>
      </c>
      <c r="D440" s="335"/>
      <c r="E440" s="348">
        <v>0.8</v>
      </c>
      <c r="F440" s="349">
        <v>0.6</v>
      </c>
      <c r="G440" s="349">
        <v>0.3</v>
      </c>
      <c r="H440" s="348">
        <v>0.8</v>
      </c>
      <c r="I440" s="347" t="s">
        <v>578</v>
      </c>
      <c r="J440" s="350"/>
      <c r="K440" s="336"/>
      <c r="L440" s="336"/>
      <c r="M440" s="336"/>
      <c r="N440" s="336"/>
      <c r="O440" s="336"/>
      <c r="P440" s="336"/>
      <c r="Q440" s="336"/>
      <c r="R440" s="336"/>
      <c r="S440" s="336"/>
      <c r="T440" s="336"/>
      <c r="U440" s="351"/>
      <c r="V440" s="352" t="s">
        <v>379</v>
      </c>
      <c r="W440" s="323">
        <v>1</v>
      </c>
      <c r="X440" s="324">
        <v>0.94</v>
      </c>
      <c r="Z440" s="48">
        <f t="shared" si="48"/>
        <v>0.94</v>
      </c>
      <c r="AA440" s="48" t="str">
        <f t="shared" si="49"/>
        <v>-</v>
      </c>
      <c r="AB440" s="48" t="str">
        <f t="shared" si="50"/>
        <v>-</v>
      </c>
      <c r="AC440" s="48" t="str">
        <f t="shared" si="51"/>
        <v>-</v>
      </c>
      <c r="AD440" s="48" t="str">
        <f t="shared" si="52"/>
        <v>-</v>
      </c>
      <c r="AE440" s="48" t="str">
        <f t="shared" si="53"/>
        <v>-</v>
      </c>
      <c r="AF440" s="48" t="str">
        <f t="shared" si="54"/>
        <v>-</v>
      </c>
      <c r="AG440" s="48" t="str">
        <f t="shared" si="55"/>
        <v>-</v>
      </c>
    </row>
    <row r="441" spans="1:33" ht="15" thickBot="1" x14ac:dyDescent="0.35">
      <c r="A441" s="574"/>
      <c r="B441" s="346" t="s">
        <v>574</v>
      </c>
      <c r="C441" s="347">
        <v>111</v>
      </c>
      <c r="D441" s="335"/>
      <c r="E441" s="348">
        <v>0.8</v>
      </c>
      <c r="F441" s="349">
        <v>0.6</v>
      </c>
      <c r="G441" s="349">
        <v>0.3</v>
      </c>
      <c r="H441" s="348">
        <v>0.8</v>
      </c>
      <c r="I441" s="347" t="s">
        <v>578</v>
      </c>
      <c r="J441" s="388"/>
      <c r="K441" s="336"/>
      <c r="L441" s="336"/>
      <c r="M441" s="336"/>
      <c r="N441" s="336"/>
      <c r="O441" s="336"/>
      <c r="P441" s="336"/>
      <c r="Q441" s="336"/>
      <c r="R441" s="336"/>
      <c r="S441" s="336"/>
      <c r="T441" s="336"/>
      <c r="U441" s="351"/>
      <c r="V441" s="352" t="s">
        <v>379</v>
      </c>
      <c r="W441" s="323">
        <v>1</v>
      </c>
      <c r="X441" s="324">
        <v>0.67</v>
      </c>
      <c r="Z441" s="48">
        <f t="shared" si="48"/>
        <v>0.67</v>
      </c>
      <c r="AA441" s="48" t="str">
        <f t="shared" si="49"/>
        <v>-</v>
      </c>
      <c r="AB441" s="48" t="str">
        <f t="shared" si="50"/>
        <v>-</v>
      </c>
      <c r="AC441" s="48" t="str">
        <f t="shared" si="51"/>
        <v>-</v>
      </c>
      <c r="AD441" s="48" t="str">
        <f t="shared" si="52"/>
        <v>-</v>
      </c>
      <c r="AE441" s="48" t="str">
        <f t="shared" si="53"/>
        <v>-</v>
      </c>
      <c r="AF441" s="48" t="str">
        <f t="shared" si="54"/>
        <v>-</v>
      </c>
      <c r="AG441" s="48" t="str">
        <f t="shared" si="55"/>
        <v>-</v>
      </c>
    </row>
    <row r="442" spans="1:33" ht="15" thickBot="1" x14ac:dyDescent="0.35">
      <c r="A442" s="574"/>
      <c r="B442" s="346" t="s">
        <v>574</v>
      </c>
      <c r="C442" s="347">
        <v>121</v>
      </c>
      <c r="D442" s="335"/>
      <c r="E442" s="348">
        <v>0.8</v>
      </c>
      <c r="F442" s="349">
        <v>0.6</v>
      </c>
      <c r="G442" s="349">
        <v>0.3</v>
      </c>
      <c r="H442" s="348">
        <v>0.8</v>
      </c>
      <c r="I442" s="347" t="s">
        <v>578</v>
      </c>
      <c r="J442" s="388"/>
      <c r="K442" s="336"/>
      <c r="L442" s="336"/>
      <c r="M442" s="336"/>
      <c r="N442" s="336"/>
      <c r="O442" s="336"/>
      <c r="P442" s="336"/>
      <c r="Q442" s="336"/>
      <c r="R442" s="336"/>
      <c r="S442" s="336"/>
      <c r="T442" s="336"/>
      <c r="U442" s="351"/>
      <c r="V442" s="352" t="s">
        <v>379</v>
      </c>
      <c r="W442" s="323">
        <v>1</v>
      </c>
      <c r="X442" s="324">
        <v>0.67</v>
      </c>
      <c r="Z442" s="48">
        <f t="shared" si="48"/>
        <v>0.67</v>
      </c>
      <c r="AA442" s="48" t="str">
        <f t="shared" si="49"/>
        <v>-</v>
      </c>
      <c r="AB442" s="48" t="str">
        <f t="shared" si="50"/>
        <v>-</v>
      </c>
      <c r="AC442" s="48" t="str">
        <f t="shared" si="51"/>
        <v>-</v>
      </c>
      <c r="AD442" s="48" t="str">
        <f t="shared" si="52"/>
        <v>-</v>
      </c>
      <c r="AE442" s="48" t="str">
        <f t="shared" si="53"/>
        <v>-</v>
      </c>
      <c r="AF442" s="48" t="str">
        <f t="shared" si="54"/>
        <v>-</v>
      </c>
      <c r="AG442" s="48" t="str">
        <f t="shared" si="55"/>
        <v>-</v>
      </c>
    </row>
    <row r="443" spans="1:33" ht="15" thickBot="1" x14ac:dyDescent="0.35">
      <c r="A443" s="574"/>
      <c r="B443" s="346" t="s">
        <v>574</v>
      </c>
      <c r="C443" s="347">
        <v>131</v>
      </c>
      <c r="D443" s="335"/>
      <c r="E443" s="348">
        <v>0.8</v>
      </c>
      <c r="F443" s="349">
        <v>0.6</v>
      </c>
      <c r="G443" s="349">
        <v>0.3</v>
      </c>
      <c r="H443" s="348">
        <v>0.8</v>
      </c>
      <c r="I443" s="347" t="s">
        <v>578</v>
      </c>
      <c r="J443" s="388"/>
      <c r="K443" s="336"/>
      <c r="L443" s="336"/>
      <c r="M443" s="336"/>
      <c r="N443" s="336"/>
      <c r="O443" s="336"/>
      <c r="P443" s="336"/>
      <c r="Q443" s="336"/>
      <c r="R443" s="336"/>
      <c r="S443" s="336"/>
      <c r="T443" s="336"/>
      <c r="U443" s="351"/>
      <c r="V443" s="352" t="s">
        <v>379</v>
      </c>
      <c r="W443" s="323">
        <v>1</v>
      </c>
      <c r="X443" s="324">
        <v>0.67</v>
      </c>
      <c r="Z443" s="48">
        <f t="shared" si="48"/>
        <v>0.67</v>
      </c>
      <c r="AA443" s="48" t="str">
        <f t="shared" si="49"/>
        <v>-</v>
      </c>
      <c r="AB443" s="48" t="str">
        <f t="shared" si="50"/>
        <v>-</v>
      </c>
      <c r="AC443" s="48" t="str">
        <f t="shared" si="51"/>
        <v>-</v>
      </c>
      <c r="AD443" s="48" t="str">
        <f t="shared" si="52"/>
        <v>-</v>
      </c>
      <c r="AE443" s="48" t="str">
        <f t="shared" si="53"/>
        <v>-</v>
      </c>
      <c r="AF443" s="48" t="str">
        <f t="shared" si="54"/>
        <v>-</v>
      </c>
      <c r="AG443" s="48" t="str">
        <f t="shared" si="55"/>
        <v>-</v>
      </c>
    </row>
    <row r="444" spans="1:33" ht="15" thickBot="1" x14ac:dyDescent="0.35">
      <c r="A444" s="574"/>
      <c r="B444" s="346" t="s">
        <v>574</v>
      </c>
      <c r="C444" s="347">
        <v>141</v>
      </c>
      <c r="D444" s="335"/>
      <c r="E444" s="348">
        <v>0.8</v>
      </c>
      <c r="F444" s="349">
        <v>0.6</v>
      </c>
      <c r="G444" s="349">
        <v>0.3</v>
      </c>
      <c r="H444" s="348">
        <v>0.8</v>
      </c>
      <c r="I444" s="347" t="s">
        <v>578</v>
      </c>
      <c r="J444" s="388"/>
      <c r="K444" s="336"/>
      <c r="L444" s="336"/>
      <c r="M444" s="336"/>
      <c r="N444" s="336"/>
      <c r="O444" s="336"/>
      <c r="P444" s="336"/>
      <c r="Q444" s="336"/>
      <c r="R444" s="336"/>
      <c r="S444" s="336"/>
      <c r="T444" s="336"/>
      <c r="U444" s="351"/>
      <c r="V444" s="352" t="s">
        <v>379</v>
      </c>
      <c r="W444" s="323">
        <v>1</v>
      </c>
      <c r="X444" s="324">
        <v>0.67</v>
      </c>
      <c r="Z444" s="48">
        <f t="shared" si="48"/>
        <v>0.67</v>
      </c>
      <c r="AA444" s="48" t="str">
        <f t="shared" si="49"/>
        <v>-</v>
      </c>
      <c r="AB444" s="48" t="str">
        <f t="shared" si="50"/>
        <v>-</v>
      </c>
      <c r="AC444" s="48" t="str">
        <f t="shared" si="51"/>
        <v>-</v>
      </c>
      <c r="AD444" s="48" t="str">
        <f t="shared" si="52"/>
        <v>-</v>
      </c>
      <c r="AE444" s="48" t="str">
        <f t="shared" si="53"/>
        <v>-</v>
      </c>
      <c r="AF444" s="48" t="str">
        <f t="shared" si="54"/>
        <v>-</v>
      </c>
      <c r="AG444" s="48" t="str">
        <f t="shared" si="55"/>
        <v>-</v>
      </c>
    </row>
    <row r="445" spans="1:33" ht="15" thickBot="1" x14ac:dyDescent="0.35">
      <c r="A445" s="574"/>
      <c r="B445" s="346" t="s">
        <v>574</v>
      </c>
      <c r="C445" s="347">
        <v>151</v>
      </c>
      <c r="D445" s="335"/>
      <c r="E445" s="348">
        <v>0.8</v>
      </c>
      <c r="F445" s="349">
        <v>0.6</v>
      </c>
      <c r="G445" s="349">
        <v>0.3</v>
      </c>
      <c r="H445" s="348">
        <v>0.8</v>
      </c>
      <c r="I445" s="347" t="s">
        <v>578</v>
      </c>
      <c r="J445" s="388"/>
      <c r="K445" s="336"/>
      <c r="L445" s="336"/>
      <c r="M445" s="336"/>
      <c r="N445" s="336"/>
      <c r="O445" s="336"/>
      <c r="P445" s="336"/>
      <c r="Q445" s="336"/>
      <c r="R445" s="336"/>
      <c r="S445" s="336"/>
      <c r="T445" s="336"/>
      <c r="U445" s="351"/>
      <c r="V445" s="352" t="s">
        <v>379</v>
      </c>
      <c r="W445" s="323">
        <v>1</v>
      </c>
      <c r="X445" s="324">
        <v>0.67</v>
      </c>
      <c r="Z445" s="48">
        <f t="shared" si="48"/>
        <v>0.67</v>
      </c>
      <c r="AA445" s="48" t="str">
        <f t="shared" si="49"/>
        <v>-</v>
      </c>
      <c r="AB445" s="48" t="str">
        <f t="shared" si="50"/>
        <v>-</v>
      </c>
      <c r="AC445" s="48" t="str">
        <f t="shared" si="51"/>
        <v>-</v>
      </c>
      <c r="AD445" s="48" t="str">
        <f t="shared" si="52"/>
        <v>-</v>
      </c>
      <c r="AE445" s="48" t="str">
        <f t="shared" si="53"/>
        <v>-</v>
      </c>
      <c r="AF445" s="48" t="str">
        <f t="shared" si="54"/>
        <v>-</v>
      </c>
      <c r="AG445" s="48" t="str">
        <f t="shared" si="55"/>
        <v>-</v>
      </c>
    </row>
    <row r="446" spans="1:33" ht="15" thickBot="1" x14ac:dyDescent="0.35">
      <c r="A446" s="574"/>
      <c r="B446" s="346" t="s">
        <v>574</v>
      </c>
      <c r="C446" s="347">
        <v>161</v>
      </c>
      <c r="D446" s="335"/>
      <c r="E446" s="348">
        <v>0.8</v>
      </c>
      <c r="F446" s="349">
        <v>0.6</v>
      </c>
      <c r="G446" s="349">
        <v>0.3</v>
      </c>
      <c r="H446" s="348">
        <v>0.8</v>
      </c>
      <c r="I446" s="347" t="s">
        <v>578</v>
      </c>
      <c r="J446" s="388"/>
      <c r="K446" s="336"/>
      <c r="L446" s="336"/>
      <c r="M446" s="336"/>
      <c r="N446" s="336"/>
      <c r="O446" s="336"/>
      <c r="P446" s="336"/>
      <c r="Q446" s="336"/>
      <c r="R446" s="336"/>
      <c r="S446" s="336"/>
      <c r="T446" s="336"/>
      <c r="U446" s="351"/>
      <c r="V446" s="352" t="s">
        <v>379</v>
      </c>
      <c r="W446" s="323">
        <v>1</v>
      </c>
      <c r="X446" s="324">
        <v>0.67</v>
      </c>
      <c r="Z446" s="48">
        <f t="shared" si="48"/>
        <v>0.67</v>
      </c>
      <c r="AA446" s="48" t="str">
        <f t="shared" si="49"/>
        <v>-</v>
      </c>
      <c r="AB446" s="48" t="str">
        <f t="shared" si="50"/>
        <v>-</v>
      </c>
      <c r="AC446" s="48" t="str">
        <f t="shared" si="51"/>
        <v>-</v>
      </c>
      <c r="AD446" s="48" t="str">
        <f t="shared" si="52"/>
        <v>-</v>
      </c>
      <c r="AE446" s="48" t="str">
        <f t="shared" si="53"/>
        <v>-</v>
      </c>
      <c r="AF446" s="48" t="str">
        <f t="shared" si="54"/>
        <v>-</v>
      </c>
      <c r="AG446" s="48" t="str">
        <f t="shared" si="55"/>
        <v>-</v>
      </c>
    </row>
    <row r="447" spans="1:33" ht="15" thickBot="1" x14ac:dyDescent="0.35">
      <c r="A447" s="574"/>
      <c r="B447" s="346" t="s">
        <v>574</v>
      </c>
      <c r="C447" s="347">
        <v>171</v>
      </c>
      <c r="D447" s="335"/>
      <c r="E447" s="348">
        <v>0.8</v>
      </c>
      <c r="F447" s="349">
        <v>0.6</v>
      </c>
      <c r="G447" s="349">
        <v>0.3</v>
      </c>
      <c r="H447" s="348">
        <v>0.8</v>
      </c>
      <c r="I447" s="347" t="s">
        <v>578</v>
      </c>
      <c r="J447" s="388"/>
      <c r="K447" s="336"/>
      <c r="L447" s="336"/>
      <c r="M447" s="336"/>
      <c r="N447" s="336"/>
      <c r="O447" s="336"/>
      <c r="P447" s="336"/>
      <c r="Q447" s="336"/>
      <c r="R447" s="336"/>
      <c r="S447" s="336"/>
      <c r="T447" s="336"/>
      <c r="U447" s="351"/>
      <c r="V447" s="352" t="s">
        <v>379</v>
      </c>
      <c r="W447" s="323">
        <v>1</v>
      </c>
      <c r="X447" s="324">
        <v>0.67</v>
      </c>
      <c r="Z447" s="48">
        <f t="shared" si="48"/>
        <v>0.67</v>
      </c>
      <c r="AA447" s="48" t="str">
        <f t="shared" si="49"/>
        <v>-</v>
      </c>
      <c r="AB447" s="48" t="str">
        <f t="shared" si="50"/>
        <v>-</v>
      </c>
      <c r="AC447" s="48" t="str">
        <f t="shared" si="51"/>
        <v>-</v>
      </c>
      <c r="AD447" s="48" t="str">
        <f t="shared" si="52"/>
        <v>-</v>
      </c>
      <c r="AE447" s="48" t="str">
        <f t="shared" si="53"/>
        <v>-</v>
      </c>
      <c r="AF447" s="48" t="str">
        <f t="shared" si="54"/>
        <v>-</v>
      </c>
      <c r="AG447" s="48" t="str">
        <f t="shared" si="55"/>
        <v>-</v>
      </c>
    </row>
    <row r="448" spans="1:33" ht="15" thickBot="1" x14ac:dyDescent="0.35">
      <c r="A448" s="574"/>
      <c r="B448" s="346" t="s">
        <v>574</v>
      </c>
      <c r="C448" s="347">
        <v>181</v>
      </c>
      <c r="D448" s="335"/>
      <c r="E448" s="348">
        <v>0.8</v>
      </c>
      <c r="F448" s="349">
        <v>0.6</v>
      </c>
      <c r="G448" s="349">
        <v>0.3</v>
      </c>
      <c r="H448" s="348">
        <v>0.8</v>
      </c>
      <c r="I448" s="347" t="s">
        <v>578</v>
      </c>
      <c r="J448" s="388"/>
      <c r="K448" s="336"/>
      <c r="L448" s="336"/>
      <c r="M448" s="336"/>
      <c r="N448" s="336"/>
      <c r="O448" s="336"/>
      <c r="P448" s="336"/>
      <c r="Q448" s="336"/>
      <c r="R448" s="336"/>
      <c r="S448" s="336"/>
      <c r="T448" s="336"/>
      <c r="U448" s="351"/>
      <c r="V448" s="352" t="s">
        <v>379</v>
      </c>
      <c r="W448" s="323">
        <v>1</v>
      </c>
      <c r="X448" s="324">
        <v>0.67</v>
      </c>
      <c r="Z448" s="48">
        <f t="shared" si="48"/>
        <v>0.67</v>
      </c>
      <c r="AA448" s="48" t="str">
        <f t="shared" si="49"/>
        <v>-</v>
      </c>
      <c r="AB448" s="48" t="str">
        <f t="shared" si="50"/>
        <v>-</v>
      </c>
      <c r="AC448" s="48" t="str">
        <f t="shared" si="51"/>
        <v>-</v>
      </c>
      <c r="AD448" s="48" t="str">
        <f t="shared" si="52"/>
        <v>-</v>
      </c>
      <c r="AE448" s="48" t="str">
        <f t="shared" si="53"/>
        <v>-</v>
      </c>
      <c r="AF448" s="48" t="str">
        <f t="shared" si="54"/>
        <v>-</v>
      </c>
      <c r="AG448" s="48" t="str">
        <f t="shared" si="55"/>
        <v>-</v>
      </c>
    </row>
    <row r="449" spans="1:33" ht="15" thickBot="1" x14ac:dyDescent="0.35">
      <c r="A449" s="574"/>
      <c r="B449" s="346" t="s">
        <v>572</v>
      </c>
      <c r="C449" s="347">
        <v>280</v>
      </c>
      <c r="D449" s="335"/>
      <c r="E449" s="348">
        <v>0.8</v>
      </c>
      <c r="F449" s="349">
        <v>0.6</v>
      </c>
      <c r="G449" s="349">
        <v>0.3</v>
      </c>
      <c r="H449" s="348">
        <v>0.8</v>
      </c>
      <c r="I449" s="347" t="s">
        <v>578</v>
      </c>
      <c r="J449" s="388"/>
      <c r="K449" s="336"/>
      <c r="L449" s="336"/>
      <c r="M449" s="336"/>
      <c r="N449" s="336"/>
      <c r="O449" s="336"/>
      <c r="P449" s="336"/>
      <c r="Q449" s="336"/>
      <c r="R449" s="336"/>
      <c r="S449" s="336"/>
      <c r="T449" s="336"/>
      <c r="U449" s="351"/>
      <c r="V449" s="352" t="s">
        <v>379</v>
      </c>
      <c r="W449" s="323"/>
      <c r="X449" s="324">
        <v>5.41</v>
      </c>
      <c r="Z449" s="48">
        <f t="shared" si="48"/>
        <v>5.41</v>
      </c>
      <c r="AA449" s="48" t="str">
        <f t="shared" si="49"/>
        <v>-</v>
      </c>
      <c r="AB449" s="48" t="str">
        <f t="shared" si="50"/>
        <v>-</v>
      </c>
      <c r="AC449" s="48" t="str">
        <f t="shared" si="51"/>
        <v>-</v>
      </c>
      <c r="AD449" s="48" t="str">
        <f t="shared" si="52"/>
        <v>-</v>
      </c>
      <c r="AE449" s="48" t="str">
        <f t="shared" si="53"/>
        <v>-</v>
      </c>
      <c r="AF449" s="48" t="str">
        <f t="shared" si="54"/>
        <v>-</v>
      </c>
      <c r="AG449" s="48" t="str">
        <f t="shared" si="55"/>
        <v>-</v>
      </c>
    </row>
    <row r="450" spans="1:33" ht="15" thickBot="1" x14ac:dyDescent="0.35">
      <c r="A450" s="574"/>
      <c r="B450" s="346" t="s">
        <v>572</v>
      </c>
      <c r="C450" s="347">
        <v>270</v>
      </c>
      <c r="D450" s="335"/>
      <c r="E450" s="348">
        <v>0.8</v>
      </c>
      <c r="F450" s="349">
        <v>0.6</v>
      </c>
      <c r="G450" s="349">
        <v>0.3</v>
      </c>
      <c r="H450" s="348">
        <v>0.8</v>
      </c>
      <c r="I450" s="347" t="s">
        <v>578</v>
      </c>
      <c r="J450" s="350"/>
      <c r="K450" s="336"/>
      <c r="L450" s="336"/>
      <c r="M450" s="336"/>
      <c r="N450" s="336"/>
      <c r="O450" s="336"/>
      <c r="P450" s="336"/>
      <c r="Q450" s="336"/>
      <c r="R450" s="336"/>
      <c r="S450" s="336"/>
      <c r="T450" s="336"/>
      <c r="U450" s="351"/>
      <c r="V450" s="352" t="s">
        <v>379</v>
      </c>
      <c r="W450" s="323"/>
      <c r="X450" s="324">
        <v>4.58</v>
      </c>
      <c r="Z450" s="48">
        <f t="shared" si="48"/>
        <v>4.58</v>
      </c>
      <c r="AA450" s="48" t="str">
        <f t="shared" si="49"/>
        <v>-</v>
      </c>
      <c r="AB450" s="48" t="str">
        <f t="shared" si="50"/>
        <v>-</v>
      </c>
      <c r="AC450" s="48" t="str">
        <f t="shared" si="51"/>
        <v>-</v>
      </c>
      <c r="AD450" s="48" t="str">
        <f t="shared" si="52"/>
        <v>-</v>
      </c>
      <c r="AE450" s="48" t="str">
        <f t="shared" si="53"/>
        <v>-</v>
      </c>
      <c r="AF450" s="48" t="str">
        <f t="shared" si="54"/>
        <v>-</v>
      </c>
      <c r="AG450" s="48" t="str">
        <f t="shared" si="55"/>
        <v>-</v>
      </c>
    </row>
    <row r="451" spans="1:33" ht="15" thickBot="1" x14ac:dyDescent="0.35">
      <c r="A451" s="574"/>
      <c r="B451" s="346" t="s">
        <v>564</v>
      </c>
      <c r="C451" s="347">
        <v>232</v>
      </c>
      <c r="D451" s="335"/>
      <c r="E451" s="348">
        <v>0.8</v>
      </c>
      <c r="F451" s="349">
        <v>0.6</v>
      </c>
      <c r="G451" s="349">
        <v>0.3</v>
      </c>
      <c r="H451" s="348">
        <v>0.8</v>
      </c>
      <c r="I451" s="347" t="s">
        <v>578</v>
      </c>
      <c r="J451" s="350"/>
      <c r="K451" s="336"/>
      <c r="L451" s="336"/>
      <c r="M451" s="336"/>
      <c r="N451" s="336"/>
      <c r="O451" s="336"/>
      <c r="P451" s="336"/>
      <c r="Q451" s="336"/>
      <c r="R451" s="336"/>
      <c r="S451" s="336"/>
      <c r="T451" s="336"/>
      <c r="U451" s="351"/>
      <c r="V451" s="352" t="s">
        <v>379</v>
      </c>
      <c r="W451" s="323">
        <v>1</v>
      </c>
      <c r="X451" s="324">
        <v>0.48</v>
      </c>
      <c r="Z451" s="48">
        <f t="shared" si="48"/>
        <v>0.48</v>
      </c>
      <c r="AA451" s="48" t="str">
        <f t="shared" si="49"/>
        <v>-</v>
      </c>
      <c r="AB451" s="48" t="str">
        <f t="shared" si="50"/>
        <v>-</v>
      </c>
      <c r="AC451" s="48" t="str">
        <f t="shared" si="51"/>
        <v>-</v>
      </c>
      <c r="AD451" s="48" t="str">
        <f t="shared" si="52"/>
        <v>-</v>
      </c>
      <c r="AE451" s="48" t="str">
        <f t="shared" si="53"/>
        <v>-</v>
      </c>
      <c r="AF451" s="48" t="str">
        <f t="shared" si="54"/>
        <v>-</v>
      </c>
      <c r="AG451" s="48" t="str">
        <f t="shared" si="55"/>
        <v>-</v>
      </c>
    </row>
    <row r="452" spans="1:33" ht="15" thickBot="1" x14ac:dyDescent="0.35">
      <c r="A452" s="574"/>
      <c r="B452" s="346" t="s">
        <v>564</v>
      </c>
      <c r="C452" s="347">
        <v>240</v>
      </c>
      <c r="D452" s="335"/>
      <c r="E452" s="348">
        <v>0.8</v>
      </c>
      <c r="F452" s="349">
        <v>0.6</v>
      </c>
      <c r="G452" s="349">
        <v>0.3</v>
      </c>
      <c r="H452" s="348">
        <v>0.8</v>
      </c>
      <c r="I452" s="347" t="s">
        <v>578</v>
      </c>
      <c r="J452" s="350"/>
      <c r="K452" s="336"/>
      <c r="L452" s="336"/>
      <c r="M452" s="336"/>
      <c r="N452" s="336"/>
      <c r="O452" s="336"/>
      <c r="P452" s="336"/>
      <c r="Q452" s="336"/>
      <c r="R452" s="336"/>
      <c r="S452" s="336"/>
      <c r="T452" s="336"/>
      <c r="U452" s="351"/>
      <c r="V452" s="352" t="s">
        <v>379</v>
      </c>
      <c r="W452" s="323">
        <v>1</v>
      </c>
      <c r="X452" s="324">
        <v>0.48</v>
      </c>
      <c r="Z452" s="48">
        <f t="shared" ref="Z452:Z487" si="56">IF(AND(0&lt;=$H452,$H452&lt;=1,$V452="U")=TRUE,$X452,"-")</f>
        <v>0.48</v>
      </c>
      <c r="AA452" s="48" t="str">
        <f t="shared" ref="AA452:AA487" si="57">IF(AND(0&lt;=$H452,$H452&lt;=1,$V452="r")=TRUE,$X452,"-")</f>
        <v>-</v>
      </c>
      <c r="AB452" s="48" t="str">
        <f t="shared" ref="AB452:AB487" si="58">IF(AND(0&lt;=$H452,$H452&lt;=1,$V452="RI")=TRUE,$X452,"-")</f>
        <v>-</v>
      </c>
      <c r="AC452" s="48" t="str">
        <f t="shared" ref="AC452:AC487" si="59">IF(AND(0&lt;=$H452,$H452&lt;=1,$V452="RE")=TRUE,$X452,"-")</f>
        <v>-</v>
      </c>
      <c r="AD452" s="48" t="str">
        <f t="shared" ref="AD452:AD487" si="60">IF(AND(1.01&lt;=$H452,$H452&lt;=1.25,$V452="U")=TRUE,$X452,"-")</f>
        <v>-</v>
      </c>
      <c r="AE452" s="48" t="str">
        <f t="shared" ref="AE452:AE487" si="61">IF(AND(1.01&lt;=$H452,$H452&lt;=1.25,$V452="R")=TRUE,$X452,"-")</f>
        <v>-</v>
      </c>
      <c r="AF452" s="48" t="str">
        <f t="shared" ref="AF452:AF487" si="62">IF(AND(1.01&lt;=$H452,$H452&lt;=1.25,$V452="RI")=TRUE,$X452,"-")</f>
        <v>-</v>
      </c>
      <c r="AG452" s="48" t="str">
        <f t="shared" ref="AG452:AG487" si="63">IF(AND(1.01&lt;=$H452,$H452&lt;=1.25,$V452="RE")=TRUE,$X452,"-")</f>
        <v>-</v>
      </c>
    </row>
    <row r="453" spans="1:33" ht="15" thickBot="1" x14ac:dyDescent="0.35">
      <c r="A453" s="574"/>
      <c r="B453" s="346" t="s">
        <v>564</v>
      </c>
      <c r="C453" s="347">
        <v>248</v>
      </c>
      <c r="D453" s="335"/>
      <c r="E453" s="348">
        <v>0.8</v>
      </c>
      <c r="F453" s="349">
        <v>0.6</v>
      </c>
      <c r="G453" s="349">
        <v>0.3</v>
      </c>
      <c r="H453" s="348">
        <v>0.8</v>
      </c>
      <c r="I453" s="347" t="s">
        <v>578</v>
      </c>
      <c r="J453" s="350"/>
      <c r="K453" s="336"/>
      <c r="L453" s="336"/>
      <c r="M453" s="336"/>
      <c r="N453" s="336"/>
      <c r="O453" s="336"/>
      <c r="P453" s="336"/>
      <c r="Q453" s="336"/>
      <c r="R453" s="336"/>
      <c r="S453" s="336"/>
      <c r="T453" s="336"/>
      <c r="U453" s="351"/>
      <c r="V453" s="352" t="s">
        <v>379</v>
      </c>
      <c r="W453" s="323">
        <v>1</v>
      </c>
      <c r="X453" s="324">
        <v>0.48</v>
      </c>
      <c r="Z453" s="48">
        <f t="shared" si="56"/>
        <v>0.48</v>
      </c>
      <c r="AA453" s="48" t="str">
        <f t="shared" si="57"/>
        <v>-</v>
      </c>
      <c r="AB453" s="48" t="str">
        <f t="shared" si="58"/>
        <v>-</v>
      </c>
      <c r="AC453" s="48" t="str">
        <f t="shared" si="59"/>
        <v>-</v>
      </c>
      <c r="AD453" s="48" t="str">
        <f t="shared" si="60"/>
        <v>-</v>
      </c>
      <c r="AE453" s="48" t="str">
        <f t="shared" si="61"/>
        <v>-</v>
      </c>
      <c r="AF453" s="48" t="str">
        <f t="shared" si="62"/>
        <v>-</v>
      </c>
      <c r="AG453" s="48" t="str">
        <f t="shared" si="63"/>
        <v>-</v>
      </c>
    </row>
    <row r="454" spans="1:33" ht="15" thickBot="1" x14ac:dyDescent="0.35">
      <c r="A454" s="574"/>
      <c r="B454" s="346" t="s">
        <v>564</v>
      </c>
      <c r="C454" s="347">
        <v>256</v>
      </c>
      <c r="D454" s="335"/>
      <c r="E454" s="348">
        <v>0.8</v>
      </c>
      <c r="F454" s="349">
        <v>0.6</v>
      </c>
      <c r="G454" s="349">
        <v>0.3</v>
      </c>
      <c r="H454" s="348">
        <v>0.8</v>
      </c>
      <c r="I454" s="347" t="s">
        <v>578</v>
      </c>
      <c r="J454" s="350"/>
      <c r="K454" s="336"/>
      <c r="L454" s="336"/>
      <c r="M454" s="336"/>
      <c r="N454" s="336"/>
      <c r="O454" s="336"/>
      <c r="P454" s="336"/>
      <c r="Q454" s="336"/>
      <c r="R454" s="336"/>
      <c r="S454" s="336"/>
      <c r="T454" s="336"/>
      <c r="U454" s="351"/>
      <c r="V454" s="352" t="s">
        <v>379</v>
      </c>
      <c r="W454" s="323">
        <v>1</v>
      </c>
      <c r="X454" s="324">
        <v>0.48</v>
      </c>
      <c r="Z454" s="48">
        <f t="shared" si="56"/>
        <v>0.48</v>
      </c>
      <c r="AA454" s="48" t="str">
        <f t="shared" si="57"/>
        <v>-</v>
      </c>
      <c r="AB454" s="48" t="str">
        <f t="shared" si="58"/>
        <v>-</v>
      </c>
      <c r="AC454" s="48" t="str">
        <f t="shared" si="59"/>
        <v>-</v>
      </c>
      <c r="AD454" s="48" t="str">
        <f t="shared" si="60"/>
        <v>-</v>
      </c>
      <c r="AE454" s="48" t="str">
        <f t="shared" si="61"/>
        <v>-</v>
      </c>
      <c r="AF454" s="48" t="str">
        <f t="shared" si="62"/>
        <v>-</v>
      </c>
      <c r="AG454" s="48" t="str">
        <f t="shared" si="63"/>
        <v>-</v>
      </c>
    </row>
    <row r="455" spans="1:33" ht="15" thickBot="1" x14ac:dyDescent="0.35">
      <c r="A455" s="574"/>
      <c r="B455" s="346" t="s">
        <v>564</v>
      </c>
      <c r="C455" s="347">
        <v>264</v>
      </c>
      <c r="D455" s="335"/>
      <c r="E455" s="348">
        <v>0.8</v>
      </c>
      <c r="F455" s="349">
        <v>0.6</v>
      </c>
      <c r="G455" s="349">
        <v>0.3</v>
      </c>
      <c r="H455" s="348">
        <v>0.8</v>
      </c>
      <c r="I455" s="347" t="s">
        <v>578</v>
      </c>
      <c r="J455" s="350"/>
      <c r="K455" s="336"/>
      <c r="L455" s="336"/>
      <c r="M455" s="336"/>
      <c r="N455" s="336"/>
      <c r="O455" s="336"/>
      <c r="P455" s="336"/>
      <c r="Q455" s="336"/>
      <c r="R455" s="336"/>
      <c r="S455" s="336"/>
      <c r="T455" s="336"/>
      <c r="U455" s="351"/>
      <c r="V455" s="352" t="s">
        <v>379</v>
      </c>
      <c r="W455" s="323">
        <v>1</v>
      </c>
      <c r="X455" s="324">
        <v>0.48</v>
      </c>
      <c r="Z455" s="48">
        <f t="shared" si="56"/>
        <v>0.48</v>
      </c>
      <c r="AA455" s="48" t="str">
        <f t="shared" si="57"/>
        <v>-</v>
      </c>
      <c r="AB455" s="48" t="str">
        <f t="shared" si="58"/>
        <v>-</v>
      </c>
      <c r="AC455" s="48" t="str">
        <f t="shared" si="59"/>
        <v>-</v>
      </c>
      <c r="AD455" s="48" t="str">
        <f t="shared" si="60"/>
        <v>-</v>
      </c>
      <c r="AE455" s="48" t="str">
        <f t="shared" si="61"/>
        <v>-</v>
      </c>
      <c r="AF455" s="48" t="str">
        <f t="shared" si="62"/>
        <v>-</v>
      </c>
      <c r="AG455" s="48" t="str">
        <f t="shared" si="63"/>
        <v>-</v>
      </c>
    </row>
    <row r="456" spans="1:33" ht="15" thickBot="1" x14ac:dyDescent="0.35">
      <c r="A456" s="574"/>
      <c r="B456" s="346" t="s">
        <v>564</v>
      </c>
      <c r="C456" s="347">
        <v>272</v>
      </c>
      <c r="D456" s="335"/>
      <c r="E456" s="348">
        <v>0.8</v>
      </c>
      <c r="F456" s="349">
        <v>0.6</v>
      </c>
      <c r="G456" s="349">
        <v>0.3</v>
      </c>
      <c r="H456" s="348">
        <v>0.8</v>
      </c>
      <c r="I456" s="347" t="s">
        <v>578</v>
      </c>
      <c r="J456" s="350"/>
      <c r="K456" s="336"/>
      <c r="L456" s="336"/>
      <c r="M456" s="336"/>
      <c r="N456" s="336"/>
      <c r="O456" s="336"/>
      <c r="P456" s="336"/>
      <c r="Q456" s="336"/>
      <c r="R456" s="336"/>
      <c r="S456" s="336"/>
      <c r="T456" s="336"/>
      <c r="U456" s="351"/>
      <c r="V456" s="352" t="s">
        <v>379</v>
      </c>
      <c r="W456" s="323">
        <v>1</v>
      </c>
      <c r="X456" s="324">
        <v>0.48</v>
      </c>
      <c r="Z456" s="48">
        <f t="shared" si="56"/>
        <v>0.48</v>
      </c>
      <c r="AA456" s="48" t="str">
        <f t="shared" si="57"/>
        <v>-</v>
      </c>
      <c r="AB456" s="48" t="str">
        <f t="shared" si="58"/>
        <v>-</v>
      </c>
      <c r="AC456" s="48" t="str">
        <f t="shared" si="59"/>
        <v>-</v>
      </c>
      <c r="AD456" s="48" t="str">
        <f t="shared" si="60"/>
        <v>-</v>
      </c>
      <c r="AE456" s="48" t="str">
        <f t="shared" si="61"/>
        <v>-</v>
      </c>
      <c r="AF456" s="48" t="str">
        <f t="shared" si="62"/>
        <v>-</v>
      </c>
      <c r="AG456" s="48" t="str">
        <f t="shared" si="63"/>
        <v>-</v>
      </c>
    </row>
    <row r="457" spans="1:33" ht="15" thickBot="1" x14ac:dyDescent="0.35">
      <c r="A457" s="574"/>
      <c r="B457" s="346" t="s">
        <v>564</v>
      </c>
      <c r="C457" s="347">
        <v>280</v>
      </c>
      <c r="D457" s="335"/>
      <c r="E457" s="348">
        <v>0.8</v>
      </c>
      <c r="F457" s="349">
        <v>0.6</v>
      </c>
      <c r="G457" s="349">
        <v>0.3</v>
      </c>
      <c r="H457" s="348">
        <v>0.8</v>
      </c>
      <c r="I457" s="347" t="s">
        <v>578</v>
      </c>
      <c r="J457" s="350"/>
      <c r="K457" s="336"/>
      <c r="L457" s="336"/>
      <c r="M457" s="336"/>
      <c r="N457" s="336"/>
      <c r="O457" s="336"/>
      <c r="P457" s="336"/>
      <c r="Q457" s="336"/>
      <c r="R457" s="336"/>
      <c r="S457" s="336"/>
      <c r="T457" s="336"/>
      <c r="U457" s="351"/>
      <c r="V457" s="352" t="s">
        <v>379</v>
      </c>
      <c r="W457" s="323">
        <v>1</v>
      </c>
      <c r="X457" s="324">
        <v>0.48</v>
      </c>
      <c r="Z457" s="48">
        <f t="shared" si="56"/>
        <v>0.48</v>
      </c>
      <c r="AA457" s="48" t="str">
        <f t="shared" si="57"/>
        <v>-</v>
      </c>
      <c r="AB457" s="48" t="str">
        <f t="shared" si="58"/>
        <v>-</v>
      </c>
      <c r="AC457" s="48" t="str">
        <f t="shared" si="59"/>
        <v>-</v>
      </c>
      <c r="AD457" s="48" t="str">
        <f t="shared" si="60"/>
        <v>-</v>
      </c>
      <c r="AE457" s="48" t="str">
        <f t="shared" si="61"/>
        <v>-</v>
      </c>
      <c r="AF457" s="48" t="str">
        <f t="shared" si="62"/>
        <v>-</v>
      </c>
      <c r="AG457" s="48" t="str">
        <f t="shared" si="63"/>
        <v>-</v>
      </c>
    </row>
    <row r="458" spans="1:33" ht="15" thickBot="1" x14ac:dyDescent="0.35">
      <c r="A458" s="577"/>
      <c r="B458" s="353" t="s">
        <v>564</v>
      </c>
      <c r="C458" s="354">
        <v>288</v>
      </c>
      <c r="D458" s="355"/>
      <c r="E458" s="356">
        <v>0.8</v>
      </c>
      <c r="F458" s="357">
        <v>0.6</v>
      </c>
      <c r="G458" s="357">
        <v>0.3</v>
      </c>
      <c r="H458" s="356">
        <v>0.8</v>
      </c>
      <c r="I458" s="354" t="s">
        <v>578</v>
      </c>
      <c r="J458" s="358"/>
      <c r="K458" s="359"/>
      <c r="L458" s="359"/>
      <c r="M458" s="359"/>
      <c r="N458" s="359"/>
      <c r="O458" s="359"/>
      <c r="P458" s="359"/>
      <c r="Q458" s="359"/>
      <c r="R458" s="359"/>
      <c r="S458" s="359"/>
      <c r="T458" s="359"/>
      <c r="U458" s="360"/>
      <c r="V458" s="361" t="s">
        <v>379</v>
      </c>
      <c r="W458" s="325">
        <v>1</v>
      </c>
      <c r="X458" s="326">
        <v>0.48</v>
      </c>
      <c r="Z458" s="48">
        <f t="shared" si="56"/>
        <v>0.48</v>
      </c>
      <c r="AA458" s="48" t="str">
        <f t="shared" si="57"/>
        <v>-</v>
      </c>
      <c r="AB458" s="48" t="str">
        <f t="shared" si="58"/>
        <v>-</v>
      </c>
      <c r="AC458" s="48" t="str">
        <f t="shared" si="59"/>
        <v>-</v>
      </c>
      <c r="AD458" s="48" t="str">
        <f t="shared" si="60"/>
        <v>-</v>
      </c>
      <c r="AE458" s="48" t="str">
        <f t="shared" si="61"/>
        <v>-</v>
      </c>
      <c r="AF458" s="48" t="str">
        <f t="shared" si="62"/>
        <v>-</v>
      </c>
      <c r="AG458" s="48" t="str">
        <f t="shared" si="63"/>
        <v>-</v>
      </c>
    </row>
    <row r="459" spans="1:33" ht="15" thickBot="1" x14ac:dyDescent="0.35">
      <c r="A459" s="573" t="s">
        <v>575</v>
      </c>
      <c r="B459" s="362" t="s">
        <v>569</v>
      </c>
      <c r="C459" s="363">
        <v>120</v>
      </c>
      <c r="D459" s="335"/>
      <c r="E459" s="364">
        <v>0.8</v>
      </c>
      <c r="F459" s="365">
        <v>0.6</v>
      </c>
      <c r="G459" s="365">
        <v>0.3</v>
      </c>
      <c r="H459" s="364">
        <v>0.8</v>
      </c>
      <c r="I459" s="363" t="s">
        <v>578</v>
      </c>
      <c r="J459" s="390"/>
      <c r="K459" s="336"/>
      <c r="L459" s="336"/>
      <c r="M459" s="336"/>
      <c r="N459" s="336"/>
      <c r="O459" s="336"/>
      <c r="P459" s="336"/>
      <c r="Q459" s="336"/>
      <c r="R459" s="336"/>
      <c r="S459" s="336"/>
      <c r="T459" s="336"/>
      <c r="U459" s="351"/>
      <c r="V459" s="352" t="s">
        <v>379</v>
      </c>
      <c r="W459" s="327">
        <v>1</v>
      </c>
      <c r="X459" s="328">
        <v>2.35</v>
      </c>
      <c r="Z459" s="48">
        <f t="shared" si="56"/>
        <v>2.35</v>
      </c>
      <c r="AA459" s="48" t="str">
        <f t="shared" si="57"/>
        <v>-</v>
      </c>
      <c r="AB459" s="48" t="str">
        <f t="shared" si="58"/>
        <v>-</v>
      </c>
      <c r="AC459" s="48" t="str">
        <f t="shared" si="59"/>
        <v>-</v>
      </c>
      <c r="AD459" s="48" t="str">
        <f t="shared" si="60"/>
        <v>-</v>
      </c>
      <c r="AE459" s="48" t="str">
        <f t="shared" si="61"/>
        <v>-</v>
      </c>
      <c r="AF459" s="48" t="str">
        <f t="shared" si="62"/>
        <v>-</v>
      </c>
      <c r="AG459" s="48" t="str">
        <f t="shared" si="63"/>
        <v>-</v>
      </c>
    </row>
    <row r="460" spans="1:33" ht="15" thickBot="1" x14ac:dyDescent="0.35">
      <c r="A460" s="574"/>
      <c r="B460" s="346" t="s">
        <v>569</v>
      </c>
      <c r="C460" s="347">
        <v>139</v>
      </c>
      <c r="D460" s="335"/>
      <c r="E460" s="348">
        <v>0.8</v>
      </c>
      <c r="F460" s="349">
        <v>0.6</v>
      </c>
      <c r="G460" s="349">
        <v>0.3</v>
      </c>
      <c r="H460" s="348">
        <v>0.8</v>
      </c>
      <c r="I460" s="347" t="s">
        <v>578</v>
      </c>
      <c r="J460" s="350"/>
      <c r="K460" s="336"/>
      <c r="L460" s="336"/>
      <c r="M460" s="336"/>
      <c r="N460" s="336"/>
      <c r="O460" s="336"/>
      <c r="P460" s="336"/>
      <c r="Q460" s="336"/>
      <c r="R460" s="336"/>
      <c r="S460" s="336"/>
      <c r="T460" s="336"/>
      <c r="U460" s="351"/>
      <c r="V460" s="352" t="s">
        <v>379</v>
      </c>
      <c r="W460" s="323">
        <v>1</v>
      </c>
      <c r="X460" s="328">
        <v>2.35</v>
      </c>
      <c r="Z460" s="48">
        <f t="shared" si="56"/>
        <v>2.35</v>
      </c>
      <c r="AA460" s="48" t="str">
        <f t="shared" si="57"/>
        <v>-</v>
      </c>
      <c r="AB460" s="48" t="str">
        <f t="shared" si="58"/>
        <v>-</v>
      </c>
      <c r="AC460" s="48" t="str">
        <f t="shared" si="59"/>
        <v>-</v>
      </c>
      <c r="AD460" s="48" t="str">
        <f t="shared" si="60"/>
        <v>-</v>
      </c>
      <c r="AE460" s="48" t="str">
        <f t="shared" si="61"/>
        <v>-</v>
      </c>
      <c r="AF460" s="48" t="str">
        <f t="shared" si="62"/>
        <v>-</v>
      </c>
      <c r="AG460" s="48" t="str">
        <f t="shared" si="63"/>
        <v>-</v>
      </c>
    </row>
    <row r="461" spans="1:33" ht="15" thickBot="1" x14ac:dyDescent="0.35">
      <c r="A461" s="574"/>
      <c r="B461" s="346" t="s">
        <v>569</v>
      </c>
      <c r="C461" s="347">
        <v>149</v>
      </c>
      <c r="D461" s="335"/>
      <c r="E461" s="348">
        <v>0.8</v>
      </c>
      <c r="F461" s="349">
        <v>0.6</v>
      </c>
      <c r="G461" s="349">
        <v>0.3</v>
      </c>
      <c r="H461" s="348">
        <v>0.8</v>
      </c>
      <c r="I461" s="347" t="s">
        <v>578</v>
      </c>
      <c r="J461" s="388"/>
      <c r="K461" s="336"/>
      <c r="L461" s="336"/>
      <c r="M461" s="336"/>
      <c r="N461" s="336"/>
      <c r="O461" s="336"/>
      <c r="P461" s="336"/>
      <c r="Q461" s="336"/>
      <c r="R461" s="336"/>
      <c r="S461" s="336"/>
      <c r="T461" s="336"/>
      <c r="U461" s="351"/>
      <c r="V461" s="352" t="s">
        <v>379</v>
      </c>
      <c r="W461" s="323">
        <v>1</v>
      </c>
      <c r="X461" s="328">
        <v>2.35</v>
      </c>
      <c r="Z461" s="48">
        <f t="shared" si="56"/>
        <v>2.35</v>
      </c>
      <c r="AA461" s="48" t="str">
        <f t="shared" si="57"/>
        <v>-</v>
      </c>
      <c r="AB461" s="48" t="str">
        <f t="shared" si="58"/>
        <v>-</v>
      </c>
      <c r="AC461" s="48" t="str">
        <f t="shared" si="59"/>
        <v>-</v>
      </c>
      <c r="AD461" s="48" t="str">
        <f t="shared" si="60"/>
        <v>-</v>
      </c>
      <c r="AE461" s="48" t="str">
        <f t="shared" si="61"/>
        <v>-</v>
      </c>
      <c r="AF461" s="48" t="str">
        <f t="shared" si="62"/>
        <v>-</v>
      </c>
      <c r="AG461" s="48" t="str">
        <f t="shared" si="63"/>
        <v>-</v>
      </c>
    </row>
    <row r="462" spans="1:33" ht="15" thickBot="1" x14ac:dyDescent="0.35">
      <c r="A462" s="574"/>
      <c r="B462" s="346" t="s">
        <v>569</v>
      </c>
      <c r="C462" s="347">
        <v>159</v>
      </c>
      <c r="D462" s="335"/>
      <c r="E462" s="348">
        <v>0.8</v>
      </c>
      <c r="F462" s="349">
        <v>0.6</v>
      </c>
      <c r="G462" s="349">
        <v>0.3</v>
      </c>
      <c r="H462" s="348">
        <v>0.8</v>
      </c>
      <c r="I462" s="347" t="s">
        <v>578</v>
      </c>
      <c r="J462" s="388"/>
      <c r="K462" s="336"/>
      <c r="L462" s="336"/>
      <c r="M462" s="336"/>
      <c r="N462" s="336"/>
      <c r="O462" s="336"/>
      <c r="P462" s="336"/>
      <c r="Q462" s="336"/>
      <c r="R462" s="336"/>
      <c r="S462" s="336"/>
      <c r="T462" s="336"/>
      <c r="U462" s="351"/>
      <c r="V462" s="352" t="s">
        <v>379</v>
      </c>
      <c r="W462" s="323">
        <v>1</v>
      </c>
      <c r="X462" s="328">
        <v>2.35</v>
      </c>
      <c r="Z462" s="48">
        <f t="shared" si="56"/>
        <v>2.35</v>
      </c>
      <c r="AA462" s="48" t="str">
        <f t="shared" si="57"/>
        <v>-</v>
      </c>
      <c r="AB462" s="48" t="str">
        <f t="shared" si="58"/>
        <v>-</v>
      </c>
      <c r="AC462" s="48" t="str">
        <f t="shared" si="59"/>
        <v>-</v>
      </c>
      <c r="AD462" s="48" t="str">
        <f t="shared" si="60"/>
        <v>-</v>
      </c>
      <c r="AE462" s="48" t="str">
        <f t="shared" si="61"/>
        <v>-</v>
      </c>
      <c r="AF462" s="48" t="str">
        <f t="shared" si="62"/>
        <v>-</v>
      </c>
      <c r="AG462" s="48" t="str">
        <f t="shared" si="63"/>
        <v>-</v>
      </c>
    </row>
    <row r="463" spans="1:33" ht="15" thickBot="1" x14ac:dyDescent="0.35">
      <c r="A463" s="574"/>
      <c r="B463" s="346" t="s">
        <v>569</v>
      </c>
      <c r="C463" s="347">
        <v>223</v>
      </c>
      <c r="D463" s="335"/>
      <c r="E463" s="348">
        <v>0.8</v>
      </c>
      <c r="F463" s="349">
        <v>0.6</v>
      </c>
      <c r="G463" s="349">
        <v>0.3</v>
      </c>
      <c r="H463" s="348">
        <v>0.8</v>
      </c>
      <c r="I463" s="347" t="s">
        <v>578</v>
      </c>
      <c r="J463" s="388"/>
      <c r="K463" s="336"/>
      <c r="L463" s="336"/>
      <c r="M463" s="336"/>
      <c r="N463" s="336"/>
      <c r="O463" s="336"/>
      <c r="P463" s="336"/>
      <c r="Q463" s="336"/>
      <c r="R463" s="336"/>
      <c r="S463" s="336"/>
      <c r="T463" s="336"/>
      <c r="U463" s="351"/>
      <c r="V463" s="352" t="s">
        <v>379</v>
      </c>
      <c r="W463" s="323">
        <v>1</v>
      </c>
      <c r="X463" s="328">
        <v>2.35</v>
      </c>
      <c r="Z463" s="48">
        <f t="shared" si="56"/>
        <v>2.35</v>
      </c>
      <c r="AA463" s="48" t="str">
        <f t="shared" si="57"/>
        <v>-</v>
      </c>
      <c r="AB463" s="48" t="str">
        <f t="shared" si="58"/>
        <v>-</v>
      </c>
      <c r="AC463" s="48" t="str">
        <f t="shared" si="59"/>
        <v>-</v>
      </c>
      <c r="AD463" s="48" t="str">
        <f t="shared" si="60"/>
        <v>-</v>
      </c>
      <c r="AE463" s="48" t="str">
        <f t="shared" si="61"/>
        <v>-</v>
      </c>
      <c r="AF463" s="48" t="str">
        <f t="shared" si="62"/>
        <v>-</v>
      </c>
      <c r="AG463" s="48" t="str">
        <f t="shared" si="63"/>
        <v>-</v>
      </c>
    </row>
    <row r="464" spans="1:33" ht="15" thickBot="1" x14ac:dyDescent="0.35">
      <c r="A464" s="574"/>
      <c r="B464" s="346" t="s">
        <v>572</v>
      </c>
      <c r="C464" s="347">
        <v>140</v>
      </c>
      <c r="D464" s="335"/>
      <c r="E464" s="348">
        <v>0.8</v>
      </c>
      <c r="F464" s="349">
        <v>0.6</v>
      </c>
      <c r="G464" s="349">
        <v>0.3</v>
      </c>
      <c r="H464" s="348">
        <v>0.8</v>
      </c>
      <c r="I464" s="347" t="s">
        <v>578</v>
      </c>
      <c r="J464" s="388"/>
      <c r="K464" s="336"/>
      <c r="L464" s="336"/>
      <c r="M464" s="336"/>
      <c r="N464" s="336"/>
      <c r="O464" s="336"/>
      <c r="P464" s="336"/>
      <c r="Q464" s="336"/>
      <c r="R464" s="336"/>
      <c r="S464" s="336"/>
      <c r="T464" s="336"/>
      <c r="U464" s="351"/>
      <c r="V464" s="352" t="s">
        <v>379</v>
      </c>
      <c r="W464" s="323">
        <v>1</v>
      </c>
      <c r="X464" s="324">
        <v>0.56999999999999995</v>
      </c>
      <c r="Z464" s="48">
        <f t="shared" si="56"/>
        <v>0.56999999999999995</v>
      </c>
      <c r="AA464" s="48" t="str">
        <f t="shared" si="57"/>
        <v>-</v>
      </c>
      <c r="AB464" s="48" t="str">
        <f t="shared" si="58"/>
        <v>-</v>
      </c>
      <c r="AC464" s="48" t="str">
        <f t="shared" si="59"/>
        <v>-</v>
      </c>
      <c r="AD464" s="48" t="str">
        <f t="shared" si="60"/>
        <v>-</v>
      </c>
      <c r="AE464" s="48" t="str">
        <f t="shared" si="61"/>
        <v>-</v>
      </c>
      <c r="AF464" s="48" t="str">
        <f t="shared" si="62"/>
        <v>-</v>
      </c>
      <c r="AG464" s="48" t="str">
        <f t="shared" si="63"/>
        <v>-</v>
      </c>
    </row>
    <row r="465" spans="1:33" ht="15" thickBot="1" x14ac:dyDescent="0.35">
      <c r="A465" s="574"/>
      <c r="B465" s="346" t="s">
        <v>572</v>
      </c>
      <c r="C465" s="347">
        <v>230</v>
      </c>
      <c r="D465" s="335"/>
      <c r="E465" s="348">
        <v>0.8</v>
      </c>
      <c r="F465" s="349">
        <v>0.6</v>
      </c>
      <c r="G465" s="349">
        <v>0.3</v>
      </c>
      <c r="H465" s="348">
        <v>0.8</v>
      </c>
      <c r="I465" s="347" t="s">
        <v>578</v>
      </c>
      <c r="J465" s="388"/>
      <c r="K465" s="336"/>
      <c r="L465" s="336"/>
      <c r="M465" s="336"/>
      <c r="N465" s="336"/>
      <c r="O465" s="336"/>
      <c r="P465" s="336"/>
      <c r="Q465" s="336"/>
      <c r="R465" s="336"/>
      <c r="S465" s="336"/>
      <c r="T465" s="336"/>
      <c r="U465" s="351"/>
      <c r="V465" s="352" t="s">
        <v>379</v>
      </c>
      <c r="W465" s="323">
        <v>1</v>
      </c>
      <c r="X465" s="324">
        <v>0.56999999999999995</v>
      </c>
      <c r="Z465" s="48">
        <f t="shared" si="56"/>
        <v>0.56999999999999995</v>
      </c>
      <c r="AA465" s="48" t="str">
        <f t="shared" si="57"/>
        <v>-</v>
      </c>
      <c r="AB465" s="48" t="str">
        <f t="shared" si="58"/>
        <v>-</v>
      </c>
      <c r="AC465" s="48" t="str">
        <f t="shared" si="59"/>
        <v>-</v>
      </c>
      <c r="AD465" s="48" t="str">
        <f t="shared" si="60"/>
        <v>-</v>
      </c>
      <c r="AE465" s="48" t="str">
        <f t="shared" si="61"/>
        <v>-</v>
      </c>
      <c r="AF465" s="48" t="str">
        <f t="shared" si="62"/>
        <v>-</v>
      </c>
      <c r="AG465" s="48" t="str">
        <f t="shared" si="63"/>
        <v>-</v>
      </c>
    </row>
    <row r="466" spans="1:33" ht="15" thickBot="1" x14ac:dyDescent="0.35">
      <c r="A466" s="574"/>
      <c r="B466" s="346" t="s">
        <v>572</v>
      </c>
      <c r="C466" s="347">
        <v>240</v>
      </c>
      <c r="D466" s="335"/>
      <c r="E466" s="348">
        <v>0.8</v>
      </c>
      <c r="F466" s="349">
        <v>0.6</v>
      </c>
      <c r="G466" s="349">
        <v>0.3</v>
      </c>
      <c r="H466" s="348">
        <v>0.8</v>
      </c>
      <c r="I466" s="347" t="s">
        <v>578</v>
      </c>
      <c r="J466" s="388"/>
      <c r="K466" s="336"/>
      <c r="L466" s="336"/>
      <c r="M466" s="336"/>
      <c r="N466" s="336"/>
      <c r="O466" s="336"/>
      <c r="P466" s="336"/>
      <c r="Q466" s="336"/>
      <c r="R466" s="336"/>
      <c r="S466" s="336"/>
      <c r="T466" s="336"/>
      <c r="U466" s="351"/>
      <c r="V466" s="352" t="s">
        <v>379</v>
      </c>
      <c r="W466" s="323">
        <v>1</v>
      </c>
      <c r="X466" s="324">
        <v>0.56999999999999995</v>
      </c>
      <c r="Z466" s="48">
        <f t="shared" si="56"/>
        <v>0.56999999999999995</v>
      </c>
      <c r="AA466" s="48" t="str">
        <f t="shared" si="57"/>
        <v>-</v>
      </c>
      <c r="AB466" s="48" t="str">
        <f t="shared" si="58"/>
        <v>-</v>
      </c>
      <c r="AC466" s="48" t="str">
        <f t="shared" si="59"/>
        <v>-</v>
      </c>
      <c r="AD466" s="48" t="str">
        <f t="shared" si="60"/>
        <v>-</v>
      </c>
      <c r="AE466" s="48" t="str">
        <f t="shared" si="61"/>
        <v>-</v>
      </c>
      <c r="AF466" s="48" t="str">
        <f t="shared" si="62"/>
        <v>-</v>
      </c>
      <c r="AG466" s="48" t="str">
        <f t="shared" si="63"/>
        <v>-</v>
      </c>
    </row>
    <row r="467" spans="1:33" ht="15" thickBot="1" x14ac:dyDescent="0.35">
      <c r="A467" s="574"/>
      <c r="B467" s="346" t="s">
        <v>572</v>
      </c>
      <c r="C467" s="347">
        <v>250</v>
      </c>
      <c r="D467" s="335"/>
      <c r="E467" s="348">
        <v>0.8</v>
      </c>
      <c r="F467" s="349">
        <v>0.6</v>
      </c>
      <c r="G467" s="349">
        <v>0.3</v>
      </c>
      <c r="H467" s="348">
        <v>0.8</v>
      </c>
      <c r="I467" s="347" t="s">
        <v>578</v>
      </c>
      <c r="J467" s="388"/>
      <c r="K467" s="336"/>
      <c r="L467" s="336"/>
      <c r="M467" s="336"/>
      <c r="N467" s="336"/>
      <c r="O467" s="336"/>
      <c r="P467" s="336"/>
      <c r="Q467" s="336"/>
      <c r="R467" s="336"/>
      <c r="S467" s="336"/>
      <c r="T467" s="336"/>
      <c r="U467" s="351"/>
      <c r="V467" s="352" t="s">
        <v>379</v>
      </c>
      <c r="W467" s="323">
        <v>1</v>
      </c>
      <c r="X467" s="324">
        <v>0.56999999999999995</v>
      </c>
      <c r="Z467" s="48">
        <f t="shared" si="56"/>
        <v>0.56999999999999995</v>
      </c>
      <c r="AA467" s="48" t="str">
        <f t="shared" si="57"/>
        <v>-</v>
      </c>
      <c r="AB467" s="48" t="str">
        <f t="shared" si="58"/>
        <v>-</v>
      </c>
      <c r="AC467" s="48" t="str">
        <f t="shared" si="59"/>
        <v>-</v>
      </c>
      <c r="AD467" s="48" t="str">
        <f t="shared" si="60"/>
        <v>-</v>
      </c>
      <c r="AE467" s="48" t="str">
        <f t="shared" si="61"/>
        <v>-</v>
      </c>
      <c r="AF467" s="48" t="str">
        <f t="shared" si="62"/>
        <v>-</v>
      </c>
      <c r="AG467" s="48" t="str">
        <f t="shared" si="63"/>
        <v>-</v>
      </c>
    </row>
    <row r="468" spans="1:33" ht="15" thickBot="1" x14ac:dyDescent="0.35">
      <c r="A468" s="575"/>
      <c r="B468" s="367" t="s">
        <v>572</v>
      </c>
      <c r="C468" s="368">
        <v>231</v>
      </c>
      <c r="D468" s="335"/>
      <c r="E468" s="369">
        <v>0.8</v>
      </c>
      <c r="F468" s="370">
        <v>0.6</v>
      </c>
      <c r="G468" s="370">
        <v>0.3</v>
      </c>
      <c r="H468" s="369">
        <v>0.8</v>
      </c>
      <c r="I468" s="368" t="s">
        <v>578</v>
      </c>
      <c r="J468" s="391"/>
      <c r="K468" s="336"/>
      <c r="L468" s="336"/>
      <c r="M468" s="336"/>
      <c r="N468" s="336"/>
      <c r="O468" s="336"/>
      <c r="P468" s="336"/>
      <c r="Q468" s="336"/>
      <c r="R468" s="336"/>
      <c r="S468" s="336"/>
      <c r="T468" s="336"/>
      <c r="U468" s="351"/>
      <c r="V468" s="352" t="s">
        <v>379</v>
      </c>
      <c r="W468" s="329">
        <v>1</v>
      </c>
      <c r="X468" s="330">
        <v>0.56999999999999995</v>
      </c>
      <c r="Z468" s="48">
        <f t="shared" si="56"/>
        <v>0.56999999999999995</v>
      </c>
      <c r="AA468" s="48" t="str">
        <f t="shared" si="57"/>
        <v>-</v>
      </c>
      <c r="AB468" s="48" t="str">
        <f t="shared" si="58"/>
        <v>-</v>
      </c>
      <c r="AC468" s="48" t="str">
        <f t="shared" si="59"/>
        <v>-</v>
      </c>
      <c r="AD468" s="48" t="str">
        <f t="shared" si="60"/>
        <v>-</v>
      </c>
      <c r="AE468" s="48" t="str">
        <f t="shared" si="61"/>
        <v>-</v>
      </c>
      <c r="AF468" s="48" t="str">
        <f t="shared" si="62"/>
        <v>-</v>
      </c>
      <c r="AG468" s="48" t="str">
        <f t="shared" si="63"/>
        <v>-</v>
      </c>
    </row>
    <row r="469" spans="1:33" ht="15" thickBot="1" x14ac:dyDescent="0.35">
      <c r="A469" s="576" t="s">
        <v>123</v>
      </c>
      <c r="B469" s="337" t="s">
        <v>569</v>
      </c>
      <c r="C469" s="338">
        <v>109</v>
      </c>
      <c r="D469" s="339"/>
      <c r="E469" s="340">
        <v>0.8</v>
      </c>
      <c r="F469" s="341">
        <v>0.6</v>
      </c>
      <c r="G469" s="341">
        <v>0.3</v>
      </c>
      <c r="H469" s="340">
        <v>0.8</v>
      </c>
      <c r="I469" s="338" t="s">
        <v>578</v>
      </c>
      <c r="J469" s="389"/>
      <c r="K469" s="343"/>
      <c r="L469" s="343"/>
      <c r="M469" s="343"/>
      <c r="N469" s="343"/>
      <c r="O469" s="343"/>
      <c r="P469" s="343"/>
      <c r="Q469" s="343"/>
      <c r="R469" s="343"/>
      <c r="S469" s="343"/>
      <c r="T469" s="343"/>
      <c r="U469" s="344"/>
      <c r="V469" s="345" t="s">
        <v>379</v>
      </c>
      <c r="W469" s="321"/>
      <c r="X469" s="322">
        <v>3.32</v>
      </c>
      <c r="Z469" s="48">
        <f t="shared" si="56"/>
        <v>3.32</v>
      </c>
      <c r="AA469" s="48" t="str">
        <f t="shared" si="57"/>
        <v>-</v>
      </c>
      <c r="AB469" s="48" t="str">
        <f t="shared" si="58"/>
        <v>-</v>
      </c>
      <c r="AC469" s="48" t="str">
        <f t="shared" si="59"/>
        <v>-</v>
      </c>
      <c r="AD469" s="48" t="str">
        <f t="shared" si="60"/>
        <v>-</v>
      </c>
      <c r="AE469" s="48" t="str">
        <f t="shared" si="61"/>
        <v>-</v>
      </c>
      <c r="AF469" s="48" t="str">
        <f t="shared" si="62"/>
        <v>-</v>
      </c>
      <c r="AG469" s="48" t="str">
        <f t="shared" si="63"/>
        <v>-</v>
      </c>
    </row>
    <row r="470" spans="1:33" ht="15" thickBot="1" x14ac:dyDescent="0.35">
      <c r="A470" s="574"/>
      <c r="B470" s="346" t="s">
        <v>569</v>
      </c>
      <c r="C470" s="347">
        <v>119</v>
      </c>
      <c r="D470" s="335"/>
      <c r="E470" s="348">
        <v>0.8</v>
      </c>
      <c r="F470" s="349">
        <v>0.6</v>
      </c>
      <c r="G470" s="349">
        <v>0.3</v>
      </c>
      <c r="H470" s="348">
        <v>0.8</v>
      </c>
      <c r="I470" s="347" t="s">
        <v>578</v>
      </c>
      <c r="J470" s="350"/>
      <c r="K470" s="336"/>
      <c r="L470" s="336"/>
      <c r="M470" s="336"/>
      <c r="N470" s="336"/>
      <c r="O470" s="336"/>
      <c r="P470" s="336"/>
      <c r="Q470" s="336"/>
      <c r="R470" s="336"/>
      <c r="S470" s="336"/>
      <c r="T470" s="336"/>
      <c r="U470" s="351"/>
      <c r="V470" s="352" t="s">
        <v>379</v>
      </c>
      <c r="W470" s="323"/>
      <c r="X470" s="324">
        <v>3.22</v>
      </c>
      <c r="Z470" s="48">
        <f t="shared" si="56"/>
        <v>3.22</v>
      </c>
      <c r="AA470" s="48" t="str">
        <f t="shared" si="57"/>
        <v>-</v>
      </c>
      <c r="AB470" s="48" t="str">
        <f t="shared" si="58"/>
        <v>-</v>
      </c>
      <c r="AC470" s="48" t="str">
        <f t="shared" si="59"/>
        <v>-</v>
      </c>
      <c r="AD470" s="48" t="str">
        <f t="shared" si="60"/>
        <v>-</v>
      </c>
      <c r="AE470" s="48" t="str">
        <f t="shared" si="61"/>
        <v>-</v>
      </c>
      <c r="AF470" s="48" t="str">
        <f t="shared" si="62"/>
        <v>-</v>
      </c>
      <c r="AG470" s="48" t="str">
        <f t="shared" si="63"/>
        <v>-</v>
      </c>
    </row>
    <row r="471" spans="1:33" ht="15" thickBot="1" x14ac:dyDescent="0.35">
      <c r="A471" s="574"/>
      <c r="B471" s="346" t="s">
        <v>576</v>
      </c>
      <c r="C471" s="347">
        <v>111</v>
      </c>
      <c r="D471" s="335"/>
      <c r="E471" s="348">
        <v>0.8</v>
      </c>
      <c r="F471" s="349">
        <v>0.6</v>
      </c>
      <c r="G471" s="349">
        <v>0.3</v>
      </c>
      <c r="H471" s="348">
        <v>0.8</v>
      </c>
      <c r="I471" s="347" t="s">
        <v>578</v>
      </c>
      <c r="J471" s="388"/>
      <c r="K471" s="336"/>
      <c r="L471" s="336"/>
      <c r="M471" s="336"/>
      <c r="N471" s="336"/>
      <c r="O471" s="336"/>
      <c r="P471" s="336"/>
      <c r="Q471" s="336"/>
      <c r="R471" s="336"/>
      <c r="S471" s="336"/>
      <c r="T471" s="336"/>
      <c r="U471" s="351"/>
      <c r="V471" s="352" t="s">
        <v>379</v>
      </c>
      <c r="W471" s="323">
        <v>1</v>
      </c>
      <c r="X471" s="324">
        <v>0.41</v>
      </c>
      <c r="Z471" s="48">
        <f t="shared" si="56"/>
        <v>0.41</v>
      </c>
      <c r="AA471" s="48" t="str">
        <f t="shared" si="57"/>
        <v>-</v>
      </c>
      <c r="AB471" s="48" t="str">
        <f t="shared" si="58"/>
        <v>-</v>
      </c>
      <c r="AC471" s="48" t="str">
        <f t="shared" si="59"/>
        <v>-</v>
      </c>
      <c r="AD471" s="48" t="str">
        <f t="shared" si="60"/>
        <v>-</v>
      </c>
      <c r="AE471" s="48" t="str">
        <f t="shared" si="61"/>
        <v>-</v>
      </c>
      <c r="AF471" s="48" t="str">
        <f t="shared" si="62"/>
        <v>-</v>
      </c>
      <c r="AG471" s="48" t="str">
        <f t="shared" si="63"/>
        <v>-</v>
      </c>
    </row>
    <row r="472" spans="1:33" ht="15" thickBot="1" x14ac:dyDescent="0.35">
      <c r="A472" s="574"/>
      <c r="B472" s="346" t="s">
        <v>576</v>
      </c>
      <c r="C472" s="347">
        <v>121</v>
      </c>
      <c r="D472" s="335"/>
      <c r="E472" s="348">
        <v>0.8</v>
      </c>
      <c r="F472" s="349">
        <v>0.6</v>
      </c>
      <c r="G472" s="349">
        <v>0.3</v>
      </c>
      <c r="H472" s="348">
        <v>0.8</v>
      </c>
      <c r="I472" s="347" t="s">
        <v>578</v>
      </c>
      <c r="J472" s="388"/>
      <c r="K472" s="336"/>
      <c r="L472" s="336"/>
      <c r="M472" s="336"/>
      <c r="N472" s="336"/>
      <c r="O472" s="336"/>
      <c r="P472" s="336"/>
      <c r="Q472" s="336"/>
      <c r="R472" s="336"/>
      <c r="S472" s="336"/>
      <c r="T472" s="336"/>
      <c r="U472" s="351"/>
      <c r="V472" s="352" t="s">
        <v>379</v>
      </c>
      <c r="W472" s="323">
        <v>1</v>
      </c>
      <c r="X472" s="324">
        <v>0.41</v>
      </c>
      <c r="Z472" s="48">
        <f t="shared" si="56"/>
        <v>0.41</v>
      </c>
      <c r="AA472" s="48" t="str">
        <f t="shared" si="57"/>
        <v>-</v>
      </c>
      <c r="AB472" s="48" t="str">
        <f t="shared" si="58"/>
        <v>-</v>
      </c>
      <c r="AC472" s="48" t="str">
        <f t="shared" si="59"/>
        <v>-</v>
      </c>
      <c r="AD472" s="48" t="str">
        <f t="shared" si="60"/>
        <v>-</v>
      </c>
      <c r="AE472" s="48" t="str">
        <f t="shared" si="61"/>
        <v>-</v>
      </c>
      <c r="AF472" s="48" t="str">
        <f t="shared" si="62"/>
        <v>-</v>
      </c>
      <c r="AG472" s="48" t="str">
        <f t="shared" si="63"/>
        <v>-</v>
      </c>
    </row>
    <row r="473" spans="1:33" ht="15" thickBot="1" x14ac:dyDescent="0.35">
      <c r="A473" s="574"/>
      <c r="B473" s="346" t="s">
        <v>576</v>
      </c>
      <c r="C473" s="347">
        <v>131</v>
      </c>
      <c r="D473" s="335"/>
      <c r="E473" s="348">
        <v>0.8</v>
      </c>
      <c r="F473" s="349">
        <v>0.6</v>
      </c>
      <c r="G473" s="349">
        <v>0.3</v>
      </c>
      <c r="H473" s="348">
        <v>0.8</v>
      </c>
      <c r="I473" s="347" t="s">
        <v>578</v>
      </c>
      <c r="J473" s="388"/>
      <c r="K473" s="336"/>
      <c r="L473" s="336"/>
      <c r="M473" s="336"/>
      <c r="N473" s="336"/>
      <c r="O473" s="336"/>
      <c r="P473" s="336"/>
      <c r="Q473" s="336"/>
      <c r="R473" s="336"/>
      <c r="S473" s="336"/>
      <c r="T473" s="336"/>
      <c r="U473" s="351"/>
      <c r="V473" s="352" t="s">
        <v>379</v>
      </c>
      <c r="W473" s="323">
        <v>1</v>
      </c>
      <c r="X473" s="324">
        <v>0.41</v>
      </c>
      <c r="Z473" s="48">
        <f t="shared" si="56"/>
        <v>0.41</v>
      </c>
      <c r="AA473" s="48" t="str">
        <f t="shared" si="57"/>
        <v>-</v>
      </c>
      <c r="AB473" s="48" t="str">
        <f t="shared" si="58"/>
        <v>-</v>
      </c>
      <c r="AC473" s="48" t="str">
        <f t="shared" si="59"/>
        <v>-</v>
      </c>
      <c r="AD473" s="48" t="str">
        <f t="shared" si="60"/>
        <v>-</v>
      </c>
      <c r="AE473" s="48" t="str">
        <f t="shared" si="61"/>
        <v>-</v>
      </c>
      <c r="AF473" s="48" t="str">
        <f t="shared" si="62"/>
        <v>-</v>
      </c>
      <c r="AG473" s="48" t="str">
        <f t="shared" si="63"/>
        <v>-</v>
      </c>
    </row>
    <row r="474" spans="1:33" ht="15" thickBot="1" x14ac:dyDescent="0.35">
      <c r="A474" s="574"/>
      <c r="B474" s="346" t="s">
        <v>576</v>
      </c>
      <c r="C474" s="347">
        <v>141</v>
      </c>
      <c r="D474" s="335"/>
      <c r="E474" s="348">
        <v>0.8</v>
      </c>
      <c r="F474" s="349">
        <v>0.6</v>
      </c>
      <c r="G474" s="349">
        <v>0.3</v>
      </c>
      <c r="H474" s="348">
        <v>0.8</v>
      </c>
      <c r="I474" s="347" t="s">
        <v>578</v>
      </c>
      <c r="J474" s="388"/>
      <c r="K474" s="336"/>
      <c r="L474" s="336"/>
      <c r="M474" s="336"/>
      <c r="N474" s="336"/>
      <c r="O474" s="336"/>
      <c r="P474" s="336"/>
      <c r="Q474" s="336"/>
      <c r="R474" s="336"/>
      <c r="S474" s="336"/>
      <c r="T474" s="336"/>
      <c r="U474" s="351"/>
      <c r="V474" s="352" t="s">
        <v>379</v>
      </c>
      <c r="W474" s="323">
        <v>1</v>
      </c>
      <c r="X474" s="324">
        <v>0.41</v>
      </c>
      <c r="Z474" s="48">
        <f t="shared" si="56"/>
        <v>0.41</v>
      </c>
      <c r="AA474" s="48" t="str">
        <f t="shared" si="57"/>
        <v>-</v>
      </c>
      <c r="AB474" s="48" t="str">
        <f t="shared" si="58"/>
        <v>-</v>
      </c>
      <c r="AC474" s="48" t="str">
        <f t="shared" si="59"/>
        <v>-</v>
      </c>
      <c r="AD474" s="48" t="str">
        <f t="shared" si="60"/>
        <v>-</v>
      </c>
      <c r="AE474" s="48" t="str">
        <f t="shared" si="61"/>
        <v>-</v>
      </c>
      <c r="AF474" s="48" t="str">
        <f t="shared" si="62"/>
        <v>-</v>
      </c>
      <c r="AG474" s="48" t="str">
        <f t="shared" si="63"/>
        <v>-</v>
      </c>
    </row>
    <row r="475" spans="1:33" ht="15" thickBot="1" x14ac:dyDescent="0.35">
      <c r="A475" s="574"/>
      <c r="B475" s="346" t="s">
        <v>576</v>
      </c>
      <c r="C475" s="347">
        <v>151</v>
      </c>
      <c r="D475" s="335"/>
      <c r="E475" s="348">
        <v>0.8</v>
      </c>
      <c r="F475" s="349">
        <v>0.6</v>
      </c>
      <c r="G475" s="349">
        <v>0.3</v>
      </c>
      <c r="H475" s="348">
        <v>0.8</v>
      </c>
      <c r="I475" s="347" t="s">
        <v>578</v>
      </c>
      <c r="J475" s="388"/>
      <c r="K475" s="336"/>
      <c r="L475" s="336"/>
      <c r="M475" s="336"/>
      <c r="N475" s="336"/>
      <c r="O475" s="336"/>
      <c r="P475" s="336"/>
      <c r="Q475" s="336"/>
      <c r="R475" s="336"/>
      <c r="S475" s="336"/>
      <c r="T475" s="336"/>
      <c r="U475" s="351"/>
      <c r="V475" s="352" t="s">
        <v>379</v>
      </c>
      <c r="W475" s="323">
        <v>1</v>
      </c>
      <c r="X475" s="324">
        <v>0.41</v>
      </c>
      <c r="Z475" s="48">
        <f t="shared" si="56"/>
        <v>0.41</v>
      </c>
      <c r="AA475" s="48" t="str">
        <f t="shared" si="57"/>
        <v>-</v>
      </c>
      <c r="AB475" s="48" t="str">
        <f t="shared" si="58"/>
        <v>-</v>
      </c>
      <c r="AC475" s="48" t="str">
        <f t="shared" si="59"/>
        <v>-</v>
      </c>
      <c r="AD475" s="48" t="str">
        <f t="shared" si="60"/>
        <v>-</v>
      </c>
      <c r="AE475" s="48" t="str">
        <f t="shared" si="61"/>
        <v>-</v>
      </c>
      <c r="AF475" s="48" t="str">
        <f t="shared" si="62"/>
        <v>-</v>
      </c>
      <c r="AG475" s="48" t="str">
        <f t="shared" si="63"/>
        <v>-</v>
      </c>
    </row>
    <row r="476" spans="1:33" ht="15" thickBot="1" x14ac:dyDescent="0.35">
      <c r="A476" s="574"/>
      <c r="B476" s="346" t="s">
        <v>576</v>
      </c>
      <c r="C476" s="347">
        <v>161</v>
      </c>
      <c r="D476" s="335"/>
      <c r="E476" s="348">
        <v>0.8</v>
      </c>
      <c r="F476" s="349">
        <v>0.6</v>
      </c>
      <c r="G476" s="349">
        <v>0.3</v>
      </c>
      <c r="H476" s="348">
        <v>0.8</v>
      </c>
      <c r="I476" s="347" t="s">
        <v>578</v>
      </c>
      <c r="J476" s="388"/>
      <c r="K476" s="336"/>
      <c r="L476" s="336"/>
      <c r="M476" s="336"/>
      <c r="N476" s="336"/>
      <c r="O476" s="336"/>
      <c r="P476" s="336"/>
      <c r="Q476" s="336"/>
      <c r="R476" s="336"/>
      <c r="S476" s="336"/>
      <c r="T476" s="336"/>
      <c r="U476" s="351"/>
      <c r="V476" s="352" t="s">
        <v>379</v>
      </c>
      <c r="W476" s="323">
        <v>1</v>
      </c>
      <c r="X476" s="324">
        <v>0.41</v>
      </c>
      <c r="Z476" s="48">
        <f t="shared" si="56"/>
        <v>0.41</v>
      </c>
      <c r="AA476" s="48" t="str">
        <f t="shared" si="57"/>
        <v>-</v>
      </c>
      <c r="AB476" s="48" t="str">
        <f t="shared" si="58"/>
        <v>-</v>
      </c>
      <c r="AC476" s="48" t="str">
        <f t="shared" si="59"/>
        <v>-</v>
      </c>
      <c r="AD476" s="48" t="str">
        <f t="shared" si="60"/>
        <v>-</v>
      </c>
      <c r="AE476" s="48" t="str">
        <f t="shared" si="61"/>
        <v>-</v>
      </c>
      <c r="AF476" s="48" t="str">
        <f t="shared" si="62"/>
        <v>-</v>
      </c>
      <c r="AG476" s="48" t="str">
        <f t="shared" si="63"/>
        <v>-</v>
      </c>
    </row>
    <row r="477" spans="1:33" ht="15" thickBot="1" x14ac:dyDescent="0.35">
      <c r="A477" s="574"/>
      <c r="B477" s="346" t="s">
        <v>576</v>
      </c>
      <c r="C477" s="347">
        <v>171</v>
      </c>
      <c r="D477" s="335"/>
      <c r="E477" s="348">
        <v>0.8</v>
      </c>
      <c r="F477" s="349">
        <v>0.6</v>
      </c>
      <c r="G477" s="349">
        <v>0.3</v>
      </c>
      <c r="H477" s="348">
        <v>0.8</v>
      </c>
      <c r="I477" s="347" t="s">
        <v>578</v>
      </c>
      <c r="J477" s="388"/>
      <c r="K477" s="336"/>
      <c r="L477" s="336"/>
      <c r="M477" s="336"/>
      <c r="N477" s="336"/>
      <c r="O477" s="336"/>
      <c r="P477" s="336"/>
      <c r="Q477" s="336"/>
      <c r="R477" s="336"/>
      <c r="S477" s="336"/>
      <c r="T477" s="336"/>
      <c r="U477" s="351"/>
      <c r="V477" s="352" t="s">
        <v>379</v>
      </c>
      <c r="W477" s="323">
        <v>1</v>
      </c>
      <c r="X477" s="324">
        <v>0.41</v>
      </c>
      <c r="Z477" s="48">
        <f t="shared" si="56"/>
        <v>0.41</v>
      </c>
      <c r="AA477" s="48" t="str">
        <f t="shared" si="57"/>
        <v>-</v>
      </c>
      <c r="AB477" s="48" t="str">
        <f t="shared" si="58"/>
        <v>-</v>
      </c>
      <c r="AC477" s="48" t="str">
        <f t="shared" si="59"/>
        <v>-</v>
      </c>
      <c r="AD477" s="48" t="str">
        <f t="shared" si="60"/>
        <v>-</v>
      </c>
      <c r="AE477" s="48" t="str">
        <f t="shared" si="61"/>
        <v>-</v>
      </c>
      <c r="AF477" s="48" t="str">
        <f t="shared" si="62"/>
        <v>-</v>
      </c>
      <c r="AG477" s="48" t="str">
        <f t="shared" si="63"/>
        <v>-</v>
      </c>
    </row>
    <row r="478" spans="1:33" ht="15" thickBot="1" x14ac:dyDescent="0.35">
      <c r="A478" s="574"/>
      <c r="B478" s="346" t="s">
        <v>576</v>
      </c>
      <c r="C478" s="347">
        <v>181</v>
      </c>
      <c r="D478" s="335"/>
      <c r="E478" s="348">
        <v>0.8</v>
      </c>
      <c r="F478" s="349">
        <v>0.6</v>
      </c>
      <c r="G478" s="349">
        <v>0.3</v>
      </c>
      <c r="H478" s="348">
        <v>0.8</v>
      </c>
      <c r="I478" s="347" t="s">
        <v>578</v>
      </c>
      <c r="J478" s="388"/>
      <c r="K478" s="336"/>
      <c r="L478" s="336"/>
      <c r="M478" s="336"/>
      <c r="N478" s="336"/>
      <c r="O478" s="336"/>
      <c r="P478" s="336"/>
      <c r="Q478" s="336"/>
      <c r="R478" s="336"/>
      <c r="S478" s="336"/>
      <c r="T478" s="336"/>
      <c r="U478" s="351"/>
      <c r="V478" s="352" t="s">
        <v>379</v>
      </c>
      <c r="W478" s="323"/>
      <c r="X478" s="324">
        <v>0.41</v>
      </c>
      <c r="Z478" s="48">
        <f t="shared" si="56"/>
        <v>0.41</v>
      </c>
      <c r="AA478" s="48" t="str">
        <f t="shared" si="57"/>
        <v>-</v>
      </c>
      <c r="AB478" s="48" t="str">
        <f t="shared" si="58"/>
        <v>-</v>
      </c>
      <c r="AC478" s="48" t="str">
        <f t="shared" si="59"/>
        <v>-</v>
      </c>
      <c r="AD478" s="48" t="str">
        <f t="shared" si="60"/>
        <v>-</v>
      </c>
      <c r="AE478" s="48" t="str">
        <f t="shared" si="61"/>
        <v>-</v>
      </c>
      <c r="AF478" s="48" t="str">
        <f t="shared" si="62"/>
        <v>-</v>
      </c>
      <c r="AG478" s="48" t="str">
        <f t="shared" si="63"/>
        <v>-</v>
      </c>
    </row>
    <row r="479" spans="1:33" ht="15" thickBot="1" x14ac:dyDescent="0.35">
      <c r="A479" s="574"/>
      <c r="B479" s="346" t="s">
        <v>572</v>
      </c>
      <c r="C479" s="347">
        <v>210</v>
      </c>
      <c r="D479" s="335"/>
      <c r="E479" s="348">
        <v>0.8</v>
      </c>
      <c r="F479" s="349">
        <v>0.6</v>
      </c>
      <c r="G479" s="349">
        <v>0.3</v>
      </c>
      <c r="H479" s="348">
        <v>0.8</v>
      </c>
      <c r="I479" s="347" t="s">
        <v>578</v>
      </c>
      <c r="J479" s="388"/>
      <c r="K479" s="336"/>
      <c r="L479" s="336"/>
      <c r="M479" s="336"/>
      <c r="N479" s="336"/>
      <c r="O479" s="336"/>
      <c r="P479" s="336"/>
      <c r="Q479" s="336"/>
      <c r="R479" s="336"/>
      <c r="S479" s="336"/>
      <c r="T479" s="336"/>
      <c r="U479" s="351"/>
      <c r="V479" s="352" t="s">
        <v>379</v>
      </c>
      <c r="W479" s="323"/>
      <c r="X479" s="324">
        <v>3.43</v>
      </c>
      <c r="Z479" s="48">
        <f t="shared" si="56"/>
        <v>3.43</v>
      </c>
      <c r="AA479" s="48" t="str">
        <f t="shared" si="57"/>
        <v>-</v>
      </c>
      <c r="AB479" s="48" t="str">
        <f t="shared" si="58"/>
        <v>-</v>
      </c>
      <c r="AC479" s="48" t="str">
        <f t="shared" si="59"/>
        <v>-</v>
      </c>
      <c r="AD479" s="48" t="str">
        <f t="shared" si="60"/>
        <v>-</v>
      </c>
      <c r="AE479" s="48" t="str">
        <f t="shared" si="61"/>
        <v>-</v>
      </c>
      <c r="AF479" s="48" t="str">
        <f t="shared" si="62"/>
        <v>-</v>
      </c>
      <c r="AG479" s="48" t="str">
        <f t="shared" si="63"/>
        <v>-</v>
      </c>
    </row>
    <row r="480" spans="1:33" ht="15" thickBot="1" x14ac:dyDescent="0.35">
      <c r="A480" s="574"/>
      <c r="B480" s="346" t="s">
        <v>572</v>
      </c>
      <c r="C480" s="347">
        <v>220</v>
      </c>
      <c r="D480" s="335"/>
      <c r="E480" s="348">
        <v>0.8</v>
      </c>
      <c r="F480" s="349">
        <v>0.6</v>
      </c>
      <c r="G480" s="349">
        <v>0.3</v>
      </c>
      <c r="H480" s="348">
        <v>0.8</v>
      </c>
      <c r="I480" s="347" t="s">
        <v>578</v>
      </c>
      <c r="J480" s="388"/>
      <c r="K480" s="336"/>
      <c r="L480" s="336"/>
      <c r="M480" s="336"/>
      <c r="N480" s="336"/>
      <c r="O480" s="336"/>
      <c r="P480" s="336"/>
      <c r="Q480" s="336"/>
      <c r="R480" s="336"/>
      <c r="S480" s="336"/>
      <c r="T480" s="336"/>
      <c r="U480" s="351"/>
      <c r="V480" s="352" t="s">
        <v>379</v>
      </c>
      <c r="W480" s="323"/>
      <c r="X480" s="324">
        <v>3.4</v>
      </c>
      <c r="Z480" s="48">
        <f t="shared" si="56"/>
        <v>3.4</v>
      </c>
      <c r="AA480" s="48" t="str">
        <f t="shared" si="57"/>
        <v>-</v>
      </c>
      <c r="AB480" s="48" t="str">
        <f t="shared" si="58"/>
        <v>-</v>
      </c>
      <c r="AC480" s="48" t="str">
        <f t="shared" si="59"/>
        <v>-</v>
      </c>
      <c r="AD480" s="48" t="str">
        <f t="shared" si="60"/>
        <v>-</v>
      </c>
      <c r="AE480" s="48" t="str">
        <f t="shared" si="61"/>
        <v>-</v>
      </c>
      <c r="AF480" s="48" t="str">
        <f t="shared" si="62"/>
        <v>-</v>
      </c>
      <c r="AG480" s="48" t="str">
        <f t="shared" si="63"/>
        <v>-</v>
      </c>
    </row>
    <row r="481" spans="1:34" ht="15" thickBot="1" x14ac:dyDescent="0.35">
      <c r="A481" s="574"/>
      <c r="B481" s="346" t="s">
        <v>566</v>
      </c>
      <c r="C481" s="347">
        <v>320</v>
      </c>
      <c r="D481" s="335"/>
      <c r="E481" s="348">
        <v>0.8</v>
      </c>
      <c r="F481" s="349">
        <v>0.6</v>
      </c>
      <c r="G481" s="349">
        <v>0.3</v>
      </c>
      <c r="H481" s="348">
        <v>0.8</v>
      </c>
      <c r="I481" s="347" t="s">
        <v>578</v>
      </c>
      <c r="J481" s="388"/>
      <c r="K481" s="336"/>
      <c r="L481" s="336"/>
      <c r="M481" s="336"/>
      <c r="N481" s="336"/>
      <c r="O481" s="336"/>
      <c r="P481" s="336"/>
      <c r="Q481" s="336"/>
      <c r="R481" s="336"/>
      <c r="S481" s="336"/>
      <c r="T481" s="336"/>
      <c r="U481" s="351"/>
      <c r="V481" s="352" t="s">
        <v>379</v>
      </c>
      <c r="W481" s="323"/>
      <c r="X481" s="324">
        <v>3.64</v>
      </c>
      <c r="Z481" s="48">
        <f t="shared" si="56"/>
        <v>3.64</v>
      </c>
      <c r="AA481" s="48" t="str">
        <f t="shared" si="57"/>
        <v>-</v>
      </c>
      <c r="AB481" s="48" t="str">
        <f t="shared" si="58"/>
        <v>-</v>
      </c>
      <c r="AC481" s="48" t="str">
        <f t="shared" si="59"/>
        <v>-</v>
      </c>
      <c r="AD481" s="48" t="str">
        <f t="shared" si="60"/>
        <v>-</v>
      </c>
      <c r="AE481" s="48" t="str">
        <f t="shared" si="61"/>
        <v>-</v>
      </c>
      <c r="AF481" s="48" t="str">
        <f t="shared" si="62"/>
        <v>-</v>
      </c>
      <c r="AG481" s="48" t="str">
        <f t="shared" si="63"/>
        <v>-</v>
      </c>
    </row>
    <row r="482" spans="1:34" ht="15" thickBot="1" x14ac:dyDescent="0.35">
      <c r="A482" s="574"/>
      <c r="B482" s="346" t="s">
        <v>566</v>
      </c>
      <c r="C482" s="347">
        <v>330</v>
      </c>
      <c r="D482" s="335"/>
      <c r="E482" s="348">
        <v>0.8</v>
      </c>
      <c r="F482" s="349">
        <v>0.6</v>
      </c>
      <c r="G482" s="349">
        <v>0.3</v>
      </c>
      <c r="H482" s="348">
        <v>0.8</v>
      </c>
      <c r="I482" s="347" t="s">
        <v>578</v>
      </c>
      <c r="J482" s="388"/>
      <c r="K482" s="336"/>
      <c r="L482" s="336"/>
      <c r="M482" s="336"/>
      <c r="N482" s="336"/>
      <c r="O482" s="336"/>
      <c r="P482" s="336"/>
      <c r="Q482" s="336"/>
      <c r="R482" s="336"/>
      <c r="S482" s="336"/>
      <c r="T482" s="336"/>
      <c r="U482" s="351"/>
      <c r="V482" s="352" t="s">
        <v>379</v>
      </c>
      <c r="W482" s="323"/>
      <c r="X482" s="324">
        <v>3.89</v>
      </c>
      <c r="Z482" s="48">
        <f t="shared" si="56"/>
        <v>3.89</v>
      </c>
      <c r="AA482" s="48" t="str">
        <f t="shared" si="57"/>
        <v>-</v>
      </c>
      <c r="AB482" s="48" t="str">
        <f t="shared" si="58"/>
        <v>-</v>
      </c>
      <c r="AC482" s="48" t="str">
        <f t="shared" si="59"/>
        <v>-</v>
      </c>
      <c r="AD482" s="48" t="str">
        <f t="shared" si="60"/>
        <v>-</v>
      </c>
      <c r="AE482" s="48" t="str">
        <f t="shared" si="61"/>
        <v>-</v>
      </c>
      <c r="AF482" s="48" t="str">
        <f t="shared" si="62"/>
        <v>-</v>
      </c>
      <c r="AG482" s="48" t="str">
        <f t="shared" si="63"/>
        <v>-</v>
      </c>
    </row>
    <row r="483" spans="1:34" ht="15" thickBot="1" x14ac:dyDescent="0.35">
      <c r="A483" s="574"/>
      <c r="B483" s="346" t="s">
        <v>566</v>
      </c>
      <c r="C483" s="347">
        <v>340</v>
      </c>
      <c r="D483" s="335"/>
      <c r="E483" s="348">
        <v>0.8</v>
      </c>
      <c r="F483" s="349">
        <v>0.6</v>
      </c>
      <c r="G483" s="349">
        <v>0.3</v>
      </c>
      <c r="H483" s="348">
        <v>0.8</v>
      </c>
      <c r="I483" s="347" t="s">
        <v>578</v>
      </c>
      <c r="J483" s="388"/>
      <c r="K483" s="336"/>
      <c r="L483" s="336"/>
      <c r="M483" s="336"/>
      <c r="N483" s="336"/>
      <c r="O483" s="336"/>
      <c r="P483" s="336"/>
      <c r="Q483" s="336"/>
      <c r="R483" s="336"/>
      <c r="S483" s="336"/>
      <c r="T483" s="336"/>
      <c r="U483" s="351"/>
      <c r="V483" s="352" t="s">
        <v>379</v>
      </c>
      <c r="W483" s="323"/>
      <c r="X483" s="324">
        <v>4.29</v>
      </c>
      <c r="Z483" s="48">
        <f t="shared" si="56"/>
        <v>4.29</v>
      </c>
      <c r="AA483" s="48" t="str">
        <f t="shared" si="57"/>
        <v>-</v>
      </c>
      <c r="AB483" s="48" t="str">
        <f t="shared" si="58"/>
        <v>-</v>
      </c>
      <c r="AC483" s="48" t="str">
        <f t="shared" si="59"/>
        <v>-</v>
      </c>
      <c r="AD483" s="48" t="str">
        <f t="shared" si="60"/>
        <v>-</v>
      </c>
      <c r="AE483" s="48" t="str">
        <f t="shared" si="61"/>
        <v>-</v>
      </c>
      <c r="AF483" s="48" t="str">
        <f t="shared" si="62"/>
        <v>-</v>
      </c>
      <c r="AG483" s="48" t="str">
        <f t="shared" si="63"/>
        <v>-</v>
      </c>
    </row>
    <row r="484" spans="1:34" ht="15" thickBot="1" x14ac:dyDescent="0.35">
      <c r="A484" s="574"/>
      <c r="B484" s="346" t="s">
        <v>566</v>
      </c>
      <c r="C484" s="347">
        <v>350</v>
      </c>
      <c r="D484" s="335"/>
      <c r="E484" s="348">
        <v>0.8</v>
      </c>
      <c r="F484" s="349">
        <v>0.6</v>
      </c>
      <c r="G484" s="349">
        <v>0.3</v>
      </c>
      <c r="H484" s="348">
        <v>0.8</v>
      </c>
      <c r="I484" s="347" t="s">
        <v>578</v>
      </c>
      <c r="J484" s="388"/>
      <c r="K484" s="336"/>
      <c r="L484" s="336"/>
      <c r="M484" s="336"/>
      <c r="N484" s="336"/>
      <c r="O484" s="336"/>
      <c r="P484" s="336"/>
      <c r="Q484" s="336"/>
      <c r="R484" s="336"/>
      <c r="S484" s="336"/>
      <c r="T484" s="336"/>
      <c r="U484" s="351"/>
      <c r="V484" s="352" t="s">
        <v>379</v>
      </c>
      <c r="W484" s="323"/>
      <c r="X484" s="324">
        <v>4.6900000000000004</v>
      </c>
      <c r="Z484" s="48">
        <f t="shared" si="56"/>
        <v>4.6900000000000004</v>
      </c>
      <c r="AA484" s="48" t="str">
        <f t="shared" si="57"/>
        <v>-</v>
      </c>
      <c r="AB484" s="48" t="str">
        <f t="shared" si="58"/>
        <v>-</v>
      </c>
      <c r="AC484" s="48" t="str">
        <f t="shared" si="59"/>
        <v>-</v>
      </c>
      <c r="AD484" s="48" t="str">
        <f t="shared" si="60"/>
        <v>-</v>
      </c>
      <c r="AE484" s="48" t="str">
        <f t="shared" si="61"/>
        <v>-</v>
      </c>
      <c r="AF484" s="48" t="str">
        <f t="shared" si="62"/>
        <v>-</v>
      </c>
      <c r="AG484" s="48" t="str">
        <f t="shared" si="63"/>
        <v>-</v>
      </c>
    </row>
    <row r="485" spans="1:34" ht="15" thickBot="1" x14ac:dyDescent="0.35">
      <c r="A485" s="574"/>
      <c r="B485" s="346" t="s">
        <v>566</v>
      </c>
      <c r="C485" s="347">
        <v>360</v>
      </c>
      <c r="D485" s="335"/>
      <c r="E485" s="348">
        <v>0.8</v>
      </c>
      <c r="F485" s="349">
        <v>0.6</v>
      </c>
      <c r="G485" s="349">
        <v>0.3</v>
      </c>
      <c r="H485" s="348">
        <v>0.8</v>
      </c>
      <c r="I485" s="347" t="s">
        <v>578</v>
      </c>
      <c r="J485" s="388"/>
      <c r="K485" s="336"/>
      <c r="L485" s="336"/>
      <c r="M485" s="336"/>
      <c r="N485" s="336"/>
      <c r="O485" s="336"/>
      <c r="P485" s="336"/>
      <c r="Q485" s="336"/>
      <c r="R485" s="336"/>
      <c r="S485" s="336"/>
      <c r="T485" s="336"/>
      <c r="U485" s="351"/>
      <c r="V485" s="352" t="s">
        <v>379</v>
      </c>
      <c r="W485" s="323"/>
      <c r="X485" s="324">
        <v>5.0199999999999996</v>
      </c>
      <c r="Z485" s="48">
        <f t="shared" si="56"/>
        <v>5.0199999999999996</v>
      </c>
      <c r="AA485" s="48" t="str">
        <f t="shared" si="57"/>
        <v>-</v>
      </c>
      <c r="AB485" s="48" t="str">
        <f t="shared" si="58"/>
        <v>-</v>
      </c>
      <c r="AC485" s="48" t="str">
        <f t="shared" si="59"/>
        <v>-</v>
      </c>
      <c r="AD485" s="48" t="str">
        <f t="shared" si="60"/>
        <v>-</v>
      </c>
      <c r="AE485" s="48" t="str">
        <f t="shared" si="61"/>
        <v>-</v>
      </c>
      <c r="AF485" s="48" t="str">
        <f t="shared" si="62"/>
        <v>-</v>
      </c>
      <c r="AG485" s="48" t="str">
        <f t="shared" si="63"/>
        <v>-</v>
      </c>
    </row>
    <row r="486" spans="1:34" ht="15" thickBot="1" x14ac:dyDescent="0.35">
      <c r="A486" s="574"/>
      <c r="B486" s="346" t="s">
        <v>566</v>
      </c>
      <c r="C486" s="347">
        <v>370</v>
      </c>
      <c r="D486" s="335"/>
      <c r="E486" s="348">
        <v>0.8</v>
      </c>
      <c r="F486" s="349">
        <v>0.6</v>
      </c>
      <c r="G486" s="349">
        <v>0.3</v>
      </c>
      <c r="H486" s="348">
        <v>0.8</v>
      </c>
      <c r="I486" s="347" t="s">
        <v>578</v>
      </c>
      <c r="J486" s="388"/>
      <c r="K486" s="336"/>
      <c r="L486" s="336"/>
      <c r="M486" s="336"/>
      <c r="N486" s="336"/>
      <c r="O486" s="336"/>
      <c r="P486" s="336"/>
      <c r="Q486" s="336"/>
      <c r="R486" s="336"/>
      <c r="S486" s="336"/>
      <c r="T486" s="336"/>
      <c r="U486" s="351"/>
      <c r="V486" s="352" t="s">
        <v>379</v>
      </c>
      <c r="W486" s="323"/>
      <c r="X486" s="324">
        <v>5.45</v>
      </c>
      <c r="Z486" s="48">
        <f t="shared" si="56"/>
        <v>5.45</v>
      </c>
      <c r="AA486" s="48" t="str">
        <f t="shared" si="57"/>
        <v>-</v>
      </c>
      <c r="AB486" s="48" t="str">
        <f t="shared" si="58"/>
        <v>-</v>
      </c>
      <c r="AC486" s="48" t="str">
        <f t="shared" si="59"/>
        <v>-</v>
      </c>
      <c r="AD486" s="48" t="str">
        <f t="shared" si="60"/>
        <v>-</v>
      </c>
      <c r="AE486" s="48" t="str">
        <f t="shared" si="61"/>
        <v>-</v>
      </c>
      <c r="AF486" s="48" t="str">
        <f t="shared" si="62"/>
        <v>-</v>
      </c>
      <c r="AG486" s="48" t="str">
        <f t="shared" si="63"/>
        <v>-</v>
      </c>
    </row>
    <row r="487" spans="1:34" ht="15" thickBot="1" x14ac:dyDescent="0.35">
      <c r="A487" s="577"/>
      <c r="B487" s="353" t="s">
        <v>566</v>
      </c>
      <c r="C487" s="354">
        <v>380</v>
      </c>
      <c r="D487" s="355"/>
      <c r="E487" s="356">
        <v>0.8</v>
      </c>
      <c r="F487" s="357">
        <v>0.6</v>
      </c>
      <c r="G487" s="357">
        <v>0.3</v>
      </c>
      <c r="H487" s="356">
        <v>0.8</v>
      </c>
      <c r="I487" s="354" t="s">
        <v>578</v>
      </c>
      <c r="J487" s="392"/>
      <c r="K487" s="359"/>
      <c r="L487" s="359"/>
      <c r="M487" s="359"/>
      <c r="N487" s="359"/>
      <c r="O487" s="359"/>
      <c r="P487" s="359"/>
      <c r="Q487" s="359"/>
      <c r="R487" s="359"/>
      <c r="S487" s="359"/>
      <c r="T487" s="359"/>
      <c r="U487" s="360"/>
      <c r="V487" s="361" t="s">
        <v>379</v>
      </c>
      <c r="W487" s="325"/>
      <c r="X487" s="326">
        <v>5.8</v>
      </c>
      <c r="Z487" s="48">
        <f t="shared" si="56"/>
        <v>5.8</v>
      </c>
      <c r="AA487" s="48" t="str">
        <f t="shared" si="57"/>
        <v>-</v>
      </c>
      <c r="AB487" s="48" t="str">
        <f t="shared" si="58"/>
        <v>-</v>
      </c>
      <c r="AC487" s="48" t="str">
        <f t="shared" si="59"/>
        <v>-</v>
      </c>
      <c r="AD487" s="48" t="str">
        <f t="shared" si="60"/>
        <v>-</v>
      </c>
      <c r="AE487" s="48" t="str">
        <f t="shared" si="61"/>
        <v>-</v>
      </c>
      <c r="AF487" s="48" t="str">
        <f t="shared" si="62"/>
        <v>-</v>
      </c>
      <c r="AG487" s="48" t="str">
        <f t="shared" si="63"/>
        <v>-</v>
      </c>
    </row>
    <row r="488" spans="1:34" ht="15" x14ac:dyDescent="0.25">
      <c r="A488" s="310"/>
      <c r="B488" s="310"/>
      <c r="C488" s="310"/>
      <c r="D488" s="310"/>
      <c r="E488" s="310"/>
      <c r="F488" s="310"/>
      <c r="G488" s="310"/>
      <c r="H488" s="310"/>
      <c r="I488" s="310"/>
      <c r="J488" s="310"/>
      <c r="K488" s="310"/>
      <c r="L488" s="310"/>
      <c r="M488" s="310"/>
      <c r="N488" s="310"/>
      <c r="O488" s="310"/>
      <c r="P488" s="310"/>
      <c r="Q488" s="310"/>
      <c r="R488" s="310"/>
      <c r="S488" s="310"/>
      <c r="T488" s="310"/>
      <c r="U488" s="310"/>
      <c r="V488" s="310"/>
      <c r="W488" s="310">
        <f>SUM(W3:W487)</f>
        <v>264</v>
      </c>
      <c r="X488" s="393">
        <f>SUM(X3:X487)</f>
        <v>1818.7100000000012</v>
      </c>
      <c r="Z488" s="121">
        <f>SUM(Z3:Z487)</f>
        <v>1643.9800000000018</v>
      </c>
      <c r="AA488" s="121">
        <f t="shared" ref="AA488:AG488" si="64">SUM(AA3:AA487)</f>
        <v>125.32000000000002</v>
      </c>
      <c r="AB488" s="121">
        <f t="shared" si="64"/>
        <v>0</v>
      </c>
      <c r="AC488" s="121">
        <f t="shared" si="64"/>
        <v>0</v>
      </c>
      <c r="AD488" s="121">
        <f t="shared" si="64"/>
        <v>49.410000000000011</v>
      </c>
      <c r="AE488" s="121">
        <f t="shared" si="64"/>
        <v>0</v>
      </c>
      <c r="AF488" s="121">
        <f t="shared" si="64"/>
        <v>0</v>
      </c>
      <c r="AG488" s="121">
        <f t="shared" si="64"/>
        <v>0</v>
      </c>
      <c r="AH488" s="121">
        <f>SUM(Z488:AG488)</f>
        <v>1818.7100000000019</v>
      </c>
    </row>
    <row r="490" spans="1:34" ht="15.75" thickBot="1" x14ac:dyDescent="0.3">
      <c r="B490" s="137"/>
      <c r="C490" s="138" t="s">
        <v>146</v>
      </c>
      <c r="D490" s="138" t="s">
        <v>379</v>
      </c>
      <c r="E490" s="138" t="s">
        <v>122</v>
      </c>
      <c r="F490" s="138" t="s">
        <v>383</v>
      </c>
      <c r="G490" s="138" t="s">
        <v>381</v>
      </c>
      <c r="H490" s="139" t="s">
        <v>170</v>
      </c>
    </row>
    <row r="491" spans="1:34" ht="48" x14ac:dyDescent="0.25">
      <c r="B491" s="140" t="s">
        <v>390</v>
      </c>
      <c r="C491" s="141" t="s">
        <v>391</v>
      </c>
      <c r="D491" s="141" t="s">
        <v>392</v>
      </c>
      <c r="E491" s="141" t="s">
        <v>393</v>
      </c>
      <c r="F491" s="141" t="s">
        <v>394</v>
      </c>
      <c r="G491" s="141" t="s">
        <v>395</v>
      </c>
      <c r="H491" s="140" t="s">
        <v>170</v>
      </c>
      <c r="J491" s="154" t="s">
        <v>410</v>
      </c>
    </row>
    <row r="492" spans="1:34" ht="15" x14ac:dyDescent="0.25">
      <c r="B492" s="142" t="s">
        <v>396</v>
      </c>
      <c r="C492" s="143">
        <f>COUNTIFS($H$3:$H$487,"&gt;0",$H$3:$H$487,"&lt;1.01",$V$3:$V$487,C$490)</f>
        <v>0</v>
      </c>
      <c r="D492" s="143">
        <f>COUNTIFS($H$3:$H$487,"&gt;0",$H$3:$H$487,"&lt;1.01",$V$3:$V$487,D$490)</f>
        <v>448</v>
      </c>
      <c r="E492" s="143">
        <f>COUNTIFS($H$3:$H$487,"&gt;0",$H$3:$H$487,"&lt;1.01",$V$3:$V$487,E$490)</f>
        <v>27</v>
      </c>
      <c r="F492" s="143">
        <f>COUNTIFS($H$3:$H$487,"&gt;0",$H$3:$H$487,"&lt;1.01",$V$3:$V$487,F$490)</f>
        <v>0</v>
      </c>
      <c r="G492" s="143">
        <f>COUNTIFS($H$3:$H$487,"&gt;0",$H$3:$H$487,"&lt;1.01",$V$3:$V$487,G$490)</f>
        <v>0</v>
      </c>
      <c r="H492" s="143">
        <f>SUM(C492:G492)</f>
        <v>475</v>
      </c>
      <c r="J492" s="155">
        <f>G492+E492+F492</f>
        <v>27</v>
      </c>
    </row>
    <row r="493" spans="1:34" ht="15" x14ac:dyDescent="0.25">
      <c r="B493" s="142" t="s">
        <v>397</v>
      </c>
      <c r="C493" s="143">
        <f>COUNTIFS($H$3:$H$487,"&gt;1.00",$H$3:$H$487,"&lt;1.26",$V$3:$V$487,C$490)</f>
        <v>0</v>
      </c>
      <c r="D493" s="143">
        <f>COUNTIFS($H$3:$H$487,"&gt;1.00",$H$3:$H$487,"&lt;1.26",$V$3:$V$487,D$490)</f>
        <v>10</v>
      </c>
      <c r="E493" s="143">
        <f>COUNTIFS($H$3:$H$487,"&gt;1.00",$H$3:$H$487,"&lt;1.26",$V$3:$V$487,E$490)</f>
        <v>0</v>
      </c>
      <c r="F493" s="143">
        <f>COUNTIFS($H$3:$H$487,"&gt;1.00",$H$3:$H$487,"&lt;1.26",$V$3:$V$487,F$490)</f>
        <v>0</v>
      </c>
      <c r="G493" s="143">
        <f>COUNTIFS($H$3:$H$487,"&gt;1.00",$H$3:$H$487,"&lt;1.26",$V$3:$V$487,G$490)</f>
        <v>0</v>
      </c>
      <c r="H493" s="143">
        <f t="shared" ref="H493:H497" si="65">SUM(C493:G493)</f>
        <v>10</v>
      </c>
      <c r="J493" s="155">
        <f t="shared" ref="J493:J497" si="66">G493+E493+F493</f>
        <v>0</v>
      </c>
    </row>
    <row r="494" spans="1:34" ht="15" x14ac:dyDescent="0.25">
      <c r="B494" s="142" t="s">
        <v>398</v>
      </c>
      <c r="C494" s="143">
        <f>COUNTIFS($H$3:$H$487,"&gt;1.25",$H$3:$H$487,"&lt;1.51",$V$3:$V$487,C$490)</f>
        <v>0</v>
      </c>
      <c r="D494" s="143">
        <f>COUNTIFS($H$3:$H$487,"&gt;1.25",$H$3:$H$487,"&lt;1.51",$V$3:$V$487,D$490)</f>
        <v>0</v>
      </c>
      <c r="E494" s="143">
        <f>COUNTIFS($H$3:$H$487,"&gt;1.25",$H$3:$H$487,"&lt;1.51",$V$3:$V$487,E$490)</f>
        <v>0</v>
      </c>
      <c r="F494" s="143">
        <f>COUNTIFS($H$3:$H$487,"&gt;1.25",$H$3:$H$487,"&lt;1.51",$V$3:$V$487,F$490)</f>
        <v>0</v>
      </c>
      <c r="G494" s="143">
        <f>COUNTIFS($H$3:$H$487,"&gt;1.25",$H$3:$H$487,"&lt;1.51",$V$3:$V$487,G$490)</f>
        <v>0</v>
      </c>
      <c r="H494" s="143">
        <f t="shared" si="65"/>
        <v>0</v>
      </c>
      <c r="J494" s="155">
        <f t="shared" si="66"/>
        <v>0</v>
      </c>
    </row>
    <row r="495" spans="1:34" ht="15" x14ac:dyDescent="0.25">
      <c r="B495" s="142" t="s">
        <v>399</v>
      </c>
      <c r="C495" s="143">
        <f>COUNTIFS($H$3:$H$487,"&gt;1.50",$H$3:$H$487,"&lt;1.76",$V$3:$V$487,C$490)</f>
        <v>0</v>
      </c>
      <c r="D495" s="143">
        <f>COUNTIFS($H$3:$H$487,"&gt;1.50",$H$3:$H$487,"&lt;1.76",$V$3:$V$487,D$490)</f>
        <v>0</v>
      </c>
      <c r="E495" s="143">
        <f>COUNTIFS($H$3:$H$487,"&gt;1.50",$H$3:$H$487,"&lt;1.76",$V$3:$V$487,E$490)</f>
        <v>0</v>
      </c>
      <c r="F495" s="143">
        <f>COUNTIFS($H$3:$H$487,"&gt;1.50",$H$3:$H$487,"&lt;1.76",$V$3:$V$487,F$490)</f>
        <v>0</v>
      </c>
      <c r="G495" s="143">
        <f>COUNTIFS($H$3:$H$487,"&gt;1.50",$H$3:$H$487,"&lt;1.76",$V$3:$V$487,G$490)</f>
        <v>0</v>
      </c>
      <c r="H495" s="143">
        <f t="shared" si="65"/>
        <v>0</v>
      </c>
      <c r="J495" s="155">
        <f t="shared" si="66"/>
        <v>0</v>
      </c>
    </row>
    <row r="496" spans="1:34" ht="15" x14ac:dyDescent="0.25">
      <c r="B496" s="142" t="s">
        <v>400</v>
      </c>
      <c r="C496" s="143">
        <f>COUNTIFS($H$3:$H$487,"&gt;1.75",$H$3:$H$487,"&lt;2.01",$V$3:$V$487,C$490)</f>
        <v>0</v>
      </c>
      <c r="D496" s="143">
        <f>COUNTIFS($H$3:$H$487,"&gt;1.75",$H$3:$H$487,"&lt;2.01",$V$3:$V$487,D$490)</f>
        <v>0</v>
      </c>
      <c r="E496" s="143">
        <f>COUNTIFS($H$3:$H$487,"&gt;1.75",$H$3:$H$487,"&lt;2.01",$V$3:$V$487,E$490)</f>
        <v>0</v>
      </c>
      <c r="F496" s="143">
        <f>COUNTIFS($H$3:$H$487,"&gt;1.75",$H$3:$H$487,"&lt;2.01",$V$3:$V$487,F$490)</f>
        <v>0</v>
      </c>
      <c r="G496" s="143">
        <f>COUNTIFS($H$3:$H$487,"&gt;1.75",$H$3:$H$487,"&lt;2.01",$V$3:$V$487,G$490)</f>
        <v>0</v>
      </c>
      <c r="H496" s="143">
        <f t="shared" si="65"/>
        <v>0</v>
      </c>
      <c r="J496" s="155">
        <f t="shared" si="66"/>
        <v>0</v>
      </c>
    </row>
    <row r="497" spans="2:10" ht="15.75" thickBot="1" x14ac:dyDescent="0.3">
      <c r="B497" s="142" t="s">
        <v>401</v>
      </c>
      <c r="C497" s="143">
        <f>COUNTIFS($H$3:$H$487,"&gt;2.00",$H$3:$H$487,"&lt;2.51",$V$3:$V$487,C$490)</f>
        <v>0</v>
      </c>
      <c r="D497" s="143">
        <f>COUNTIFS($H$3:$H$487,"&gt;2.00",$H$3:$H$487,"&lt;2.51",$V$3:$V$487,D$490)</f>
        <v>0</v>
      </c>
      <c r="E497" s="143">
        <f>COUNTIFS($H$3:$H$487,"&gt;2.00",$H$3:$H$487,"&lt;2.51",$V$3:$V$487,E$490)</f>
        <v>0</v>
      </c>
      <c r="F497" s="143">
        <f>COUNTIFS($H$3:$H$487,"&gt;2.00",$H$3:$H$487,"&lt;2.51",$V$3:$V$487,F$490)</f>
        <v>0</v>
      </c>
      <c r="G497" s="143">
        <f>COUNTIFS($H$3:$H$487,"&gt;2.00",$H$3:$H$487,"&lt;2.51",$V$3:$V$487,G$490)</f>
        <v>0</v>
      </c>
      <c r="H497" s="143">
        <f t="shared" si="65"/>
        <v>0</v>
      </c>
      <c r="J497" s="156">
        <f t="shared" si="66"/>
        <v>0</v>
      </c>
    </row>
    <row r="498" spans="2:10" ht="15" x14ac:dyDescent="0.25">
      <c r="B498" s="144" t="s">
        <v>170</v>
      </c>
      <c r="C498" s="143">
        <f>SUM(C492:C497)</f>
        <v>0</v>
      </c>
      <c r="D498" s="143">
        <f t="shared" ref="D498:G498" si="67">SUM(D492:D497)</f>
        <v>458</v>
      </c>
      <c r="E498" s="143">
        <f t="shared" si="67"/>
        <v>27</v>
      </c>
      <c r="F498" s="143">
        <f t="shared" si="67"/>
        <v>0</v>
      </c>
      <c r="G498" s="143">
        <f t="shared" si="67"/>
        <v>0</v>
      </c>
      <c r="H498" s="143">
        <f>SUM(C498:G498)</f>
        <v>485</v>
      </c>
    </row>
    <row r="499" spans="2:10" ht="15.75" thickBot="1" x14ac:dyDescent="0.3"/>
    <row r="500" spans="2:10" ht="15" x14ac:dyDescent="0.25">
      <c r="B500" s="556" t="s">
        <v>402</v>
      </c>
      <c r="C500" s="557"/>
      <c r="D500" s="145">
        <f>D498</f>
        <v>458</v>
      </c>
      <c r="E500" s="145">
        <f>E498</f>
        <v>27</v>
      </c>
      <c r="F500" s="145">
        <f>F498/2</f>
        <v>0</v>
      </c>
      <c r="G500" s="145">
        <f>G498/2</f>
        <v>0</v>
      </c>
      <c r="H500" s="146">
        <f>SUM(D500:G500)</f>
        <v>485</v>
      </c>
    </row>
    <row r="501" spans="2:10" ht="15.75" thickBot="1" x14ac:dyDescent="0.3">
      <c r="B501" s="559" t="s">
        <v>403</v>
      </c>
      <c r="C501" s="560"/>
      <c r="D501" s="147">
        <f>D498</f>
        <v>458</v>
      </c>
      <c r="E501" s="147">
        <f>E498</f>
        <v>27</v>
      </c>
      <c r="F501" s="147">
        <f>F498</f>
        <v>0</v>
      </c>
      <c r="G501" s="147">
        <f>G498</f>
        <v>0</v>
      </c>
      <c r="H501" s="130">
        <f>SUM(D501:G501)</f>
        <v>485</v>
      </c>
    </row>
    <row r="502" spans="2:10" ht="15.75" thickBot="1" x14ac:dyDescent="0.3"/>
    <row r="503" spans="2:10" x14ac:dyDescent="0.3">
      <c r="B503" s="157"/>
      <c r="C503" s="561" t="s">
        <v>409</v>
      </c>
      <c r="D503" s="562"/>
      <c r="E503" s="562"/>
      <c r="F503" s="562"/>
      <c r="G503" s="563"/>
      <c r="J503" s="569" t="s">
        <v>412</v>
      </c>
    </row>
    <row r="504" spans="2:10" x14ac:dyDescent="0.3">
      <c r="C504" s="149" t="s">
        <v>404</v>
      </c>
      <c r="D504" s="267">
        <f>Z488</f>
        <v>1643.9800000000018</v>
      </c>
      <c r="E504" s="268">
        <f>AA488</f>
        <v>125.32000000000002</v>
      </c>
      <c r="F504" s="268">
        <f>AB488</f>
        <v>0</v>
      </c>
      <c r="G504" s="269">
        <f>AC488</f>
        <v>0</v>
      </c>
      <c r="H504" s="270">
        <f>SUM(D504:G504)</f>
        <v>1769.3000000000018</v>
      </c>
      <c r="J504" s="570"/>
    </row>
    <row r="505" spans="2:10" ht="15" x14ac:dyDescent="0.25">
      <c r="C505" s="149" t="s">
        <v>405</v>
      </c>
      <c r="D505" s="268">
        <f>AD488</f>
        <v>49.410000000000011</v>
      </c>
      <c r="E505" s="268">
        <f>AE488</f>
        <v>0</v>
      </c>
      <c r="F505" s="268">
        <f>AF488</f>
        <v>0</v>
      </c>
      <c r="G505" s="269">
        <f>AG488</f>
        <v>0</v>
      </c>
      <c r="H505" s="270">
        <f t="shared" ref="H505:H509" si="68">SUM(D505:G505)</f>
        <v>49.410000000000011</v>
      </c>
      <c r="J505" s="161">
        <f>X488-0.8*H501</f>
        <v>1430.7100000000012</v>
      </c>
    </row>
    <row r="506" spans="2:10" ht="15" x14ac:dyDescent="0.25">
      <c r="C506" s="149" t="s">
        <v>398</v>
      </c>
      <c r="D506" s="268">
        <v>0</v>
      </c>
      <c r="E506" s="268">
        <f>AI488</f>
        <v>0</v>
      </c>
      <c r="F506" s="268">
        <f>AJ488</f>
        <v>0</v>
      </c>
      <c r="G506" s="269">
        <f>AK488</f>
        <v>0</v>
      </c>
      <c r="H506" s="270">
        <f t="shared" si="68"/>
        <v>0</v>
      </c>
      <c r="J506" s="266">
        <f>X488-J505</f>
        <v>388</v>
      </c>
    </row>
    <row r="507" spans="2:10" ht="15.75" thickBot="1" x14ac:dyDescent="0.3">
      <c r="C507" s="149" t="s">
        <v>406</v>
      </c>
      <c r="D507" s="268">
        <f>AL488</f>
        <v>0</v>
      </c>
      <c r="E507" s="268">
        <f>AM488</f>
        <v>0</v>
      </c>
      <c r="F507" s="268">
        <f>AN488</f>
        <v>0</v>
      </c>
      <c r="G507" s="269">
        <f>AO488</f>
        <v>0</v>
      </c>
      <c r="H507" s="270">
        <f t="shared" si="68"/>
        <v>0</v>
      </c>
      <c r="J507" s="162"/>
    </row>
    <row r="508" spans="2:10" ht="15" x14ac:dyDescent="0.25">
      <c r="C508" s="149" t="s">
        <v>407</v>
      </c>
      <c r="D508" s="268">
        <f>AP488</f>
        <v>0</v>
      </c>
      <c r="E508" s="268">
        <f>AQ488</f>
        <v>0</v>
      </c>
      <c r="F508" s="268">
        <f>AR488</f>
        <v>0</v>
      </c>
      <c r="G508" s="269">
        <f>AS488</f>
        <v>0</v>
      </c>
      <c r="H508" s="270">
        <f t="shared" si="68"/>
        <v>0</v>
      </c>
    </row>
    <row r="509" spans="2:10" ht="15.75" thickBot="1" x14ac:dyDescent="0.3">
      <c r="C509" s="150" t="s">
        <v>408</v>
      </c>
      <c r="D509" s="271">
        <f>AT488</f>
        <v>0</v>
      </c>
      <c r="E509" s="271">
        <f>AU488</f>
        <v>0</v>
      </c>
      <c r="F509" s="271">
        <f>AV488</f>
        <v>0</v>
      </c>
      <c r="G509" s="272">
        <f>AW488</f>
        <v>0</v>
      </c>
      <c r="H509" s="270">
        <f t="shared" si="68"/>
        <v>0</v>
      </c>
    </row>
    <row r="510" spans="2:10" ht="15" thickBot="1" x14ac:dyDescent="0.35">
      <c r="D510" s="152">
        <f>SUM(D504:D509)</f>
        <v>1693.3900000000019</v>
      </c>
      <c r="E510" s="153">
        <f>SUM(E504:E509)</f>
        <v>125.32000000000002</v>
      </c>
      <c r="F510" s="153">
        <f>SUM(F504:F509)</f>
        <v>0</v>
      </c>
      <c r="G510" s="153">
        <f>SUM(G504:G509)</f>
        <v>0</v>
      </c>
      <c r="H510" s="151">
        <f>SUM(H504:H509)</f>
        <v>1818.7100000000019</v>
      </c>
      <c r="J510" s="567" t="s">
        <v>411</v>
      </c>
    </row>
    <row r="511" spans="2:10" ht="15.75" customHeight="1" thickBot="1" x14ac:dyDescent="0.35">
      <c r="B511" s="89"/>
      <c r="E511" s="169"/>
      <c r="F511" s="170"/>
      <c r="G511" s="169"/>
      <c r="H511" s="169"/>
      <c r="J511" s="568"/>
    </row>
    <row r="512" spans="2:10" ht="15" thickBot="1" x14ac:dyDescent="0.35">
      <c r="C512" s="564" t="s">
        <v>297</v>
      </c>
      <c r="D512" s="565"/>
      <c r="E512" s="565"/>
      <c r="F512" s="565"/>
      <c r="G512" s="565"/>
      <c r="H512" s="566"/>
      <c r="J512" s="568"/>
    </row>
    <row r="513" spans="3:10" ht="15" x14ac:dyDescent="0.25">
      <c r="C513" s="158" t="s">
        <v>404</v>
      </c>
      <c r="D513" s="159">
        <f t="shared" ref="D513:G518" si="69">D492</f>
        <v>448</v>
      </c>
      <c r="E513" s="159">
        <f t="shared" si="69"/>
        <v>27</v>
      </c>
      <c r="F513" s="159">
        <f t="shared" si="69"/>
        <v>0</v>
      </c>
      <c r="G513" s="159">
        <f t="shared" si="69"/>
        <v>0</v>
      </c>
      <c r="H513" s="159">
        <f t="shared" ref="H513:H518" si="70">SUM(D513:G513)</f>
        <v>475</v>
      </c>
      <c r="J513" s="155">
        <f>SUM(E513:G513)</f>
        <v>27</v>
      </c>
    </row>
    <row r="514" spans="3:10" ht="15" x14ac:dyDescent="0.25">
      <c r="C514" s="148" t="s">
        <v>405</v>
      </c>
      <c r="D514" s="128">
        <f t="shared" si="69"/>
        <v>10</v>
      </c>
      <c r="E514" s="128">
        <f t="shared" si="69"/>
        <v>0</v>
      </c>
      <c r="F514" s="128">
        <f t="shared" si="69"/>
        <v>0</v>
      </c>
      <c r="G514" s="128">
        <f t="shared" si="69"/>
        <v>0</v>
      </c>
      <c r="H514" s="128">
        <f t="shared" si="70"/>
        <v>10</v>
      </c>
      <c r="J514" s="155">
        <f t="shared" ref="J514:J518" si="71">SUM(E514:G514)</f>
        <v>0</v>
      </c>
    </row>
    <row r="515" spans="3:10" ht="15" x14ac:dyDescent="0.25">
      <c r="C515" s="148" t="s">
        <v>398</v>
      </c>
      <c r="D515" s="128">
        <f t="shared" si="69"/>
        <v>0</v>
      </c>
      <c r="E515" s="128">
        <f t="shared" si="69"/>
        <v>0</v>
      </c>
      <c r="F515" s="128">
        <f t="shared" si="69"/>
        <v>0</v>
      </c>
      <c r="G515" s="128">
        <f t="shared" si="69"/>
        <v>0</v>
      </c>
      <c r="H515" s="128">
        <f t="shared" si="70"/>
        <v>0</v>
      </c>
      <c r="J515" s="155">
        <f t="shared" si="71"/>
        <v>0</v>
      </c>
    </row>
    <row r="516" spans="3:10" ht="15" x14ac:dyDescent="0.25">
      <c r="C516" s="148" t="s">
        <v>406</v>
      </c>
      <c r="D516" s="128">
        <f t="shared" si="69"/>
        <v>0</v>
      </c>
      <c r="E516" s="128">
        <f t="shared" si="69"/>
        <v>0</v>
      </c>
      <c r="F516" s="128">
        <f t="shared" si="69"/>
        <v>0</v>
      </c>
      <c r="G516" s="128">
        <f t="shared" si="69"/>
        <v>0</v>
      </c>
      <c r="H516" s="128">
        <f t="shared" si="70"/>
        <v>0</v>
      </c>
      <c r="J516" s="155">
        <f t="shared" si="71"/>
        <v>0</v>
      </c>
    </row>
    <row r="517" spans="3:10" ht="15" x14ac:dyDescent="0.25">
      <c r="C517" s="148" t="s">
        <v>407</v>
      </c>
      <c r="D517" s="128">
        <f t="shared" si="69"/>
        <v>0</v>
      </c>
      <c r="E517" s="128">
        <f t="shared" si="69"/>
        <v>0</v>
      </c>
      <c r="F517" s="128">
        <f t="shared" si="69"/>
        <v>0</v>
      </c>
      <c r="G517" s="128">
        <f t="shared" si="69"/>
        <v>0</v>
      </c>
      <c r="H517" s="128">
        <f t="shared" si="70"/>
        <v>0</v>
      </c>
      <c r="J517" s="155">
        <f t="shared" si="71"/>
        <v>0</v>
      </c>
    </row>
    <row r="518" spans="3:10" ht="15" x14ac:dyDescent="0.25">
      <c r="C518" s="148" t="s">
        <v>408</v>
      </c>
      <c r="D518" s="128">
        <f t="shared" si="69"/>
        <v>0</v>
      </c>
      <c r="E518" s="128">
        <f t="shared" si="69"/>
        <v>0</v>
      </c>
      <c r="F518" s="128">
        <f t="shared" si="69"/>
        <v>0</v>
      </c>
      <c r="G518" s="128">
        <f t="shared" si="69"/>
        <v>0</v>
      </c>
      <c r="H518" s="128">
        <f t="shared" si="70"/>
        <v>0</v>
      </c>
      <c r="J518" s="155">
        <f t="shared" si="71"/>
        <v>0</v>
      </c>
    </row>
    <row r="519" spans="3:10" ht="15.75" thickBot="1" x14ac:dyDescent="0.3">
      <c r="D519" s="128">
        <f>SUM(D513:D518)</f>
        <v>458</v>
      </c>
      <c r="E519" s="128">
        <f>SUM(E513:E518)</f>
        <v>27</v>
      </c>
      <c r="F519" s="128">
        <f>SUM(F513:F518)</f>
        <v>0</v>
      </c>
      <c r="G519" s="128">
        <f>SUM(G513:G518)</f>
        <v>0</v>
      </c>
      <c r="H519" s="128">
        <f>SUM(H513:H518)</f>
        <v>485</v>
      </c>
      <c r="J519" s="160">
        <f>SUM(J513:J518)</f>
        <v>27</v>
      </c>
    </row>
    <row r="520" spans="3:10" ht="15.75" thickBot="1" x14ac:dyDescent="0.3"/>
    <row r="521" spans="3:10" ht="15.75" thickBot="1" x14ac:dyDescent="0.3">
      <c r="C521" s="556" t="s">
        <v>413</v>
      </c>
      <c r="D521" s="557"/>
      <c r="E521" s="558"/>
    </row>
    <row r="522" spans="3:10" ht="15.75" thickBot="1" x14ac:dyDescent="0.3">
      <c r="C522" s="165">
        <v>2989.99</v>
      </c>
      <c r="D522" s="147">
        <v>206.17</v>
      </c>
      <c r="E522" s="130">
        <f>EVEN(C522+D522)/10</f>
        <v>319.8</v>
      </c>
      <c r="F522" s="166">
        <v>250</v>
      </c>
    </row>
    <row r="524" spans="3:10" ht="15" x14ac:dyDescent="0.25">
      <c r="C524" s="555"/>
      <c r="D524" s="555"/>
      <c r="E524" s="555"/>
      <c r="F524" s="555"/>
      <c r="G524" s="273"/>
      <c r="H524" s="89"/>
    </row>
    <row r="525" spans="3:10" ht="15" x14ac:dyDescent="0.25">
      <c r="C525" s="274"/>
      <c r="D525" s="274"/>
      <c r="E525" s="274"/>
      <c r="F525" s="274"/>
      <c r="G525" s="273"/>
      <c r="H525" s="89"/>
    </row>
    <row r="526" spans="3:10" ht="15" x14ac:dyDescent="0.25">
      <c r="C526" s="275"/>
      <c r="D526" s="276"/>
      <c r="E526" s="276"/>
      <c r="F526" s="276"/>
      <c r="G526" s="89"/>
      <c r="H526" s="89"/>
    </row>
    <row r="527" spans="3:10" ht="15" x14ac:dyDescent="0.25">
      <c r="C527" s="275"/>
      <c r="D527" s="276"/>
      <c r="E527" s="276"/>
      <c r="F527" s="276"/>
      <c r="G527" s="89"/>
      <c r="H527" s="89"/>
    </row>
    <row r="528" spans="3:10" ht="15" x14ac:dyDescent="0.25">
      <c r="C528" s="275"/>
      <c r="D528" s="276"/>
      <c r="E528" s="276"/>
      <c r="F528" s="276"/>
      <c r="G528" s="89"/>
      <c r="H528" s="89"/>
    </row>
    <row r="529" spans="3:8" ht="15" x14ac:dyDescent="0.25">
      <c r="C529" s="275"/>
      <c r="D529" s="276"/>
      <c r="E529" s="276"/>
      <c r="F529" s="276"/>
      <c r="G529" s="89"/>
      <c r="H529" s="89"/>
    </row>
    <row r="530" spans="3:8" ht="15" x14ac:dyDescent="0.25">
      <c r="C530" s="275"/>
      <c r="D530" s="276"/>
      <c r="E530" s="276"/>
      <c r="F530" s="276"/>
      <c r="G530" s="89"/>
      <c r="H530" s="89"/>
    </row>
    <row r="531" spans="3:8" ht="15" x14ac:dyDescent="0.25">
      <c r="C531" s="275"/>
      <c r="D531" s="276"/>
      <c r="E531" s="276"/>
      <c r="F531" s="276"/>
      <c r="G531" s="89"/>
      <c r="H531" s="89"/>
    </row>
    <row r="532" spans="3:8" ht="15" x14ac:dyDescent="0.25">
      <c r="C532" s="100"/>
      <c r="D532" s="100"/>
      <c r="E532" s="100"/>
      <c r="F532" s="100"/>
      <c r="G532" s="89"/>
      <c r="H532" s="89"/>
    </row>
    <row r="533" spans="3:8" ht="15" x14ac:dyDescent="0.25">
      <c r="C533" s="275"/>
      <c r="D533" s="100"/>
      <c r="E533" s="100"/>
      <c r="F533" s="100"/>
      <c r="G533" s="89"/>
      <c r="H533" s="89"/>
    </row>
    <row r="534" spans="3:8" x14ac:dyDescent="0.3">
      <c r="C534" s="275"/>
      <c r="D534" s="100"/>
      <c r="E534" s="100"/>
      <c r="F534" s="100"/>
      <c r="G534" s="89"/>
      <c r="H534" s="89"/>
    </row>
    <row r="535" spans="3:8" x14ac:dyDescent="0.3">
      <c r="C535" s="100"/>
      <c r="D535" s="100"/>
      <c r="E535" s="100"/>
      <c r="F535" s="100"/>
      <c r="G535" s="89"/>
      <c r="H535" s="89"/>
    </row>
  </sheetData>
  <mergeCells count="55">
    <mergeCell ref="T1:T2"/>
    <mergeCell ref="U1:U2"/>
    <mergeCell ref="A3:A16"/>
    <mergeCell ref="W1:W2"/>
    <mergeCell ref="A17:A25"/>
    <mergeCell ref="A26:A37"/>
    <mergeCell ref="Q2:S2"/>
    <mergeCell ref="C1:C2"/>
    <mergeCell ref="D1:D2"/>
    <mergeCell ref="E1:H1"/>
    <mergeCell ref="I1:L1"/>
    <mergeCell ref="P1:P2"/>
    <mergeCell ref="B1:B2"/>
    <mergeCell ref="A1:A2"/>
    <mergeCell ref="A399:A418"/>
    <mergeCell ref="A419:A438"/>
    <mergeCell ref="A439:A458"/>
    <mergeCell ref="A459:A468"/>
    <mergeCell ref="A469:A487"/>
    <mergeCell ref="A379:A398"/>
    <mergeCell ref="A194:A195"/>
    <mergeCell ref="A196:A221"/>
    <mergeCell ref="A222:A243"/>
    <mergeCell ref="A244:A269"/>
    <mergeCell ref="A270:A289"/>
    <mergeCell ref="A290:A313"/>
    <mergeCell ref="A314:A345"/>
    <mergeCell ref="A346:A366"/>
    <mergeCell ref="A367:A378"/>
    <mergeCell ref="A155:A176"/>
    <mergeCell ref="A177:A189"/>
    <mergeCell ref="A192:A193"/>
    <mergeCell ref="A38:A51"/>
    <mergeCell ref="A52:A64"/>
    <mergeCell ref="A65:A72"/>
    <mergeCell ref="A74:A93"/>
    <mergeCell ref="A94:A119"/>
    <mergeCell ref="A120:A144"/>
    <mergeCell ref="A147:A154"/>
    <mergeCell ref="AT1:AW1"/>
    <mergeCell ref="C524:F524"/>
    <mergeCell ref="Z1:AC1"/>
    <mergeCell ref="AD1:AG1"/>
    <mergeCell ref="AH1:AK1"/>
    <mergeCell ref="AL1:AO1"/>
    <mergeCell ref="AP1:AS1"/>
    <mergeCell ref="C521:E521"/>
    <mergeCell ref="B501:C501"/>
    <mergeCell ref="C503:G503"/>
    <mergeCell ref="C512:H512"/>
    <mergeCell ref="J510:J512"/>
    <mergeCell ref="J503:J504"/>
    <mergeCell ref="B500:C500"/>
    <mergeCell ref="V1:V2"/>
    <mergeCell ref="X1:X2"/>
  </mergeCells>
  <pageMargins left="1.299212598425197" right="0.70866141732283472" top="0.74803149606299213" bottom="0.74803149606299213" header="0.31496062992125984" footer="0.31496062992125984"/>
  <pageSetup scale="25" fitToHeight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3"/>
  <sheetViews>
    <sheetView workbookViewId="0">
      <selection activeCell="C3" sqref="C3:E13"/>
    </sheetView>
  </sheetViews>
  <sheetFormatPr baseColWidth="10" defaultRowHeight="14.4" x14ac:dyDescent="0.3"/>
  <cols>
    <col min="4" max="4" width="26.88671875" customWidth="1"/>
  </cols>
  <sheetData>
    <row r="3" spans="3:6" x14ac:dyDescent="0.25">
      <c r="C3" s="403" t="s">
        <v>2</v>
      </c>
      <c r="D3" s="403" t="s">
        <v>692</v>
      </c>
      <c r="E3" s="403" t="s">
        <v>693</v>
      </c>
    </row>
    <row r="4" spans="3:6" x14ac:dyDescent="0.25">
      <c r="C4" s="30">
        <v>93</v>
      </c>
      <c r="D4" s="30">
        <v>200</v>
      </c>
      <c r="E4" s="30">
        <v>1</v>
      </c>
    </row>
    <row r="5" spans="3:6" x14ac:dyDescent="0.25">
      <c r="C5" s="30">
        <v>53</v>
      </c>
      <c r="D5" s="30">
        <v>200</v>
      </c>
      <c r="E5" s="30">
        <v>1</v>
      </c>
    </row>
    <row r="6" spans="3:6" x14ac:dyDescent="0.25">
      <c r="C6" s="30">
        <v>54</v>
      </c>
      <c r="D6" s="30">
        <v>200</v>
      </c>
      <c r="E6" s="30">
        <v>1</v>
      </c>
    </row>
    <row r="7" spans="3:6" x14ac:dyDescent="0.25">
      <c r="C7" s="30">
        <v>79</v>
      </c>
      <c r="D7" s="30">
        <v>200</v>
      </c>
      <c r="E7" s="30">
        <v>1</v>
      </c>
    </row>
    <row r="8" spans="3:6" x14ac:dyDescent="0.25">
      <c r="C8" s="30">
        <v>6</v>
      </c>
      <c r="D8" s="30">
        <v>200</v>
      </c>
      <c r="E8" s="30">
        <v>1</v>
      </c>
    </row>
    <row r="9" spans="3:6" x14ac:dyDescent="0.25">
      <c r="C9" s="30">
        <v>8</v>
      </c>
      <c r="D9" s="30">
        <v>200</v>
      </c>
      <c r="E9" s="30">
        <v>1</v>
      </c>
    </row>
    <row r="10" spans="3:6" x14ac:dyDescent="0.25">
      <c r="C10" s="30">
        <v>10</v>
      </c>
      <c r="D10" s="30">
        <v>200</v>
      </c>
      <c r="E10" s="30">
        <v>1</v>
      </c>
    </row>
    <row r="11" spans="3:6" x14ac:dyDescent="0.25">
      <c r="C11" s="30">
        <v>27</v>
      </c>
      <c r="D11" s="30">
        <v>200</v>
      </c>
      <c r="E11" s="30">
        <v>1</v>
      </c>
    </row>
    <row r="12" spans="3:6" x14ac:dyDescent="0.25">
      <c r="C12" s="30">
        <v>92</v>
      </c>
      <c r="D12" s="30">
        <v>200</v>
      </c>
      <c r="E12" s="30">
        <v>1</v>
      </c>
      <c r="F12">
        <f>SUM(E4:E12)</f>
        <v>9</v>
      </c>
    </row>
    <row r="13" spans="3:6" x14ac:dyDescent="0.25">
      <c r="C13" s="30">
        <v>91</v>
      </c>
      <c r="D13" s="30">
        <v>315</v>
      </c>
      <c r="E13" s="30">
        <v>1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178"/>
  <sheetViews>
    <sheetView workbookViewId="0">
      <selection activeCell="B3" sqref="B3:E172"/>
    </sheetView>
  </sheetViews>
  <sheetFormatPr baseColWidth="10" defaultRowHeight="14.4" x14ac:dyDescent="0.3"/>
  <cols>
    <col min="2" max="2" width="23.33203125" customWidth="1"/>
    <col min="3" max="3" width="23" customWidth="1"/>
    <col min="4" max="4" width="19.5546875" customWidth="1"/>
    <col min="5" max="5" width="24" customWidth="1"/>
  </cols>
  <sheetData>
    <row r="2" spans="2:5" ht="15.75" thickBot="1" x14ac:dyDescent="0.3"/>
    <row r="3" spans="2:5" ht="15.75" thickBot="1" x14ac:dyDescent="0.3">
      <c r="B3" s="598" t="s">
        <v>603</v>
      </c>
      <c r="C3" s="598"/>
      <c r="D3" s="598"/>
      <c r="E3" s="598"/>
    </row>
    <row r="4" spans="2:5" ht="15" thickBot="1" x14ac:dyDescent="0.35">
      <c r="B4" s="598" t="s">
        <v>604</v>
      </c>
      <c r="C4" s="599" t="s">
        <v>605</v>
      </c>
      <c r="D4" s="599" t="s">
        <v>606</v>
      </c>
      <c r="E4" s="599" t="s">
        <v>607</v>
      </c>
    </row>
    <row r="5" spans="2:5" ht="34.5" customHeight="1" thickBot="1" x14ac:dyDescent="0.35">
      <c r="B5" s="598"/>
      <c r="C5" s="599"/>
      <c r="D5" s="599"/>
      <c r="E5" s="599"/>
    </row>
    <row r="6" spans="2:5" ht="15.75" thickBot="1" x14ac:dyDescent="0.3">
      <c r="B6" s="292" t="s">
        <v>608</v>
      </c>
      <c r="C6" s="292">
        <v>0</v>
      </c>
      <c r="D6" s="292">
        <v>0</v>
      </c>
      <c r="E6" s="293" t="s">
        <v>543</v>
      </c>
    </row>
    <row r="7" spans="2:5" ht="15.75" thickBot="1" x14ac:dyDescent="0.3">
      <c r="B7" s="292" t="s">
        <v>609</v>
      </c>
      <c r="C7" s="292">
        <v>11</v>
      </c>
      <c r="D7" s="292">
        <v>3</v>
      </c>
      <c r="E7" s="293" t="s">
        <v>543</v>
      </c>
    </row>
    <row r="8" spans="2:5" ht="15.75" thickBot="1" x14ac:dyDescent="0.3">
      <c r="B8" s="292" t="s">
        <v>610</v>
      </c>
      <c r="C8" s="292">
        <v>10</v>
      </c>
      <c r="D8" s="292">
        <v>4</v>
      </c>
      <c r="E8" s="293" t="s">
        <v>543</v>
      </c>
    </row>
    <row r="9" spans="2:5" ht="15.75" thickBot="1" x14ac:dyDescent="0.3">
      <c r="B9" s="292" t="s">
        <v>611</v>
      </c>
      <c r="C9" s="292"/>
      <c r="D9" s="292">
        <v>0</v>
      </c>
      <c r="E9" s="293" t="s">
        <v>543</v>
      </c>
    </row>
    <row r="10" spans="2:5" ht="15.75" thickBot="1" x14ac:dyDescent="0.3">
      <c r="B10" s="292" t="s">
        <v>612</v>
      </c>
      <c r="C10" s="292"/>
      <c r="D10" s="292">
        <v>0</v>
      </c>
      <c r="E10" s="293" t="s">
        <v>543</v>
      </c>
    </row>
    <row r="11" spans="2:5" ht="15.75" thickBot="1" x14ac:dyDescent="0.3">
      <c r="B11" s="292"/>
      <c r="C11" s="292"/>
      <c r="D11" s="292"/>
      <c r="E11" s="293"/>
    </row>
    <row r="12" spans="2:5" ht="15.75" thickBot="1" x14ac:dyDescent="0.3">
      <c r="B12" s="292" t="s">
        <v>608</v>
      </c>
      <c r="C12" s="292">
        <v>0</v>
      </c>
      <c r="D12" s="292">
        <v>0</v>
      </c>
      <c r="E12" s="293" t="s">
        <v>613</v>
      </c>
    </row>
    <row r="13" spans="2:5" ht="15.75" thickBot="1" x14ac:dyDescent="0.3">
      <c r="B13" s="292" t="s">
        <v>609</v>
      </c>
      <c r="C13" s="292">
        <v>7</v>
      </c>
      <c r="D13" s="292">
        <v>3</v>
      </c>
      <c r="E13" s="293" t="s">
        <v>613</v>
      </c>
    </row>
    <row r="14" spans="2:5" ht="15.75" thickBot="1" x14ac:dyDescent="0.3">
      <c r="B14" s="292" t="s">
        <v>610</v>
      </c>
      <c r="C14" s="292">
        <v>8</v>
      </c>
      <c r="D14" s="292">
        <v>3</v>
      </c>
      <c r="E14" s="293" t="s">
        <v>613</v>
      </c>
    </row>
    <row r="15" spans="2:5" ht="15.75" thickBot="1" x14ac:dyDescent="0.3">
      <c r="B15" s="292" t="s">
        <v>611</v>
      </c>
      <c r="C15" s="292"/>
      <c r="D15" s="292">
        <v>0</v>
      </c>
      <c r="E15" s="293" t="s">
        <v>613</v>
      </c>
    </row>
    <row r="16" spans="2:5" ht="15.75" thickBot="1" x14ac:dyDescent="0.3">
      <c r="B16" s="292" t="s">
        <v>612</v>
      </c>
      <c r="C16" s="292"/>
      <c r="D16" s="292">
        <v>1</v>
      </c>
      <c r="E16" s="293" t="s">
        <v>613</v>
      </c>
    </row>
    <row r="17" spans="2:5" ht="15.75" thickBot="1" x14ac:dyDescent="0.3">
      <c r="B17" s="292"/>
      <c r="C17" s="292"/>
      <c r="D17" s="292"/>
      <c r="E17" s="293"/>
    </row>
    <row r="18" spans="2:5" ht="15.75" thickBot="1" x14ac:dyDescent="0.3">
      <c r="B18" s="292" t="s">
        <v>608</v>
      </c>
      <c r="C18" s="292">
        <v>0</v>
      </c>
      <c r="D18" s="292">
        <v>0</v>
      </c>
      <c r="E18" s="293" t="s">
        <v>560</v>
      </c>
    </row>
    <row r="19" spans="2:5" ht="15.75" thickBot="1" x14ac:dyDescent="0.3">
      <c r="B19" s="292" t="s">
        <v>609</v>
      </c>
      <c r="C19" s="292">
        <v>10</v>
      </c>
      <c r="D19" s="292">
        <v>5</v>
      </c>
      <c r="E19" s="293" t="s">
        <v>560</v>
      </c>
    </row>
    <row r="20" spans="2:5" ht="15.75" thickBot="1" x14ac:dyDescent="0.3">
      <c r="B20" s="292" t="s">
        <v>610</v>
      </c>
      <c r="C20" s="292">
        <v>2</v>
      </c>
      <c r="D20" s="292">
        <v>2</v>
      </c>
      <c r="E20" s="293" t="s">
        <v>560</v>
      </c>
    </row>
    <row r="21" spans="2:5" ht="15.75" thickBot="1" x14ac:dyDescent="0.3">
      <c r="B21" s="292" t="s">
        <v>611</v>
      </c>
      <c r="C21" s="292"/>
      <c r="D21" s="292">
        <v>0</v>
      </c>
      <c r="E21" s="293" t="s">
        <v>560</v>
      </c>
    </row>
    <row r="22" spans="2:5" ht="15.75" thickBot="1" x14ac:dyDescent="0.3">
      <c r="B22" s="292" t="s">
        <v>612</v>
      </c>
      <c r="C22" s="292"/>
      <c r="D22" s="292">
        <v>1</v>
      </c>
      <c r="E22" s="293" t="s">
        <v>560</v>
      </c>
    </row>
    <row r="23" spans="2:5" ht="15.75" thickBot="1" x14ac:dyDescent="0.3">
      <c r="B23" s="292"/>
      <c r="C23" s="292"/>
      <c r="D23" s="292"/>
      <c r="E23" s="293"/>
    </row>
    <row r="24" spans="2:5" ht="15.75" thickBot="1" x14ac:dyDescent="0.3">
      <c r="B24" s="292" t="s">
        <v>608</v>
      </c>
      <c r="C24" s="292"/>
      <c r="D24" s="292">
        <v>0</v>
      </c>
      <c r="E24" s="293" t="s">
        <v>614</v>
      </c>
    </row>
    <row r="25" spans="2:5" ht="15.75" thickBot="1" x14ac:dyDescent="0.3">
      <c r="B25" s="292" t="s">
        <v>609</v>
      </c>
      <c r="C25" s="292">
        <v>11</v>
      </c>
      <c r="D25" s="292">
        <v>4</v>
      </c>
      <c r="E25" s="293" t="s">
        <v>614</v>
      </c>
    </row>
    <row r="26" spans="2:5" ht="15.75" thickBot="1" x14ac:dyDescent="0.3">
      <c r="B26" s="292" t="s">
        <v>610</v>
      </c>
      <c r="C26" s="292">
        <v>7</v>
      </c>
      <c r="D26" s="292">
        <v>4</v>
      </c>
      <c r="E26" s="293" t="s">
        <v>614</v>
      </c>
    </row>
    <row r="27" spans="2:5" ht="15.75" thickBot="1" x14ac:dyDescent="0.3">
      <c r="B27" s="292" t="s">
        <v>611</v>
      </c>
      <c r="C27" s="292"/>
      <c r="D27" s="292">
        <v>0</v>
      </c>
      <c r="E27" s="293" t="s">
        <v>614</v>
      </c>
    </row>
    <row r="28" spans="2:5" ht="15.75" thickBot="1" x14ac:dyDescent="0.3">
      <c r="B28" s="292" t="s">
        <v>612</v>
      </c>
      <c r="C28" s="292"/>
      <c r="D28" s="292">
        <v>2</v>
      </c>
      <c r="E28" s="293" t="s">
        <v>614</v>
      </c>
    </row>
    <row r="29" spans="2:5" ht="15" thickBot="1" x14ac:dyDescent="0.35">
      <c r="B29" s="292"/>
      <c r="C29" s="292"/>
      <c r="D29" s="292"/>
      <c r="E29" s="293"/>
    </row>
    <row r="30" spans="2:5" ht="15" thickBot="1" x14ac:dyDescent="0.35">
      <c r="B30" s="292" t="s">
        <v>608</v>
      </c>
      <c r="C30" s="292">
        <v>0</v>
      </c>
      <c r="D30" s="292">
        <v>0</v>
      </c>
      <c r="E30" s="293" t="s">
        <v>564</v>
      </c>
    </row>
    <row r="31" spans="2:5" ht="15" thickBot="1" x14ac:dyDescent="0.35">
      <c r="B31" s="292" t="s">
        <v>609</v>
      </c>
      <c r="C31" s="292">
        <v>8</v>
      </c>
      <c r="D31" s="292">
        <v>4</v>
      </c>
      <c r="E31" s="293" t="s">
        <v>564</v>
      </c>
    </row>
    <row r="32" spans="2:5" ht="15" thickBot="1" x14ac:dyDescent="0.35">
      <c r="B32" s="292" t="s">
        <v>610</v>
      </c>
      <c r="C32" s="292">
        <v>1</v>
      </c>
      <c r="D32" s="292">
        <v>3</v>
      </c>
      <c r="E32" s="293" t="s">
        <v>564</v>
      </c>
    </row>
    <row r="33" spans="2:5" ht="15" thickBot="1" x14ac:dyDescent="0.35">
      <c r="B33" s="292" t="s">
        <v>611</v>
      </c>
      <c r="C33" s="292"/>
      <c r="D33" s="292">
        <v>0</v>
      </c>
      <c r="E33" s="293" t="s">
        <v>564</v>
      </c>
    </row>
    <row r="34" spans="2:5" ht="15" thickBot="1" x14ac:dyDescent="0.35">
      <c r="B34" s="292" t="s">
        <v>612</v>
      </c>
      <c r="C34" s="292"/>
      <c r="D34" s="292">
        <v>0</v>
      </c>
      <c r="E34" s="293" t="s">
        <v>564</v>
      </c>
    </row>
    <row r="35" spans="2:5" ht="15" thickBot="1" x14ac:dyDescent="0.35">
      <c r="B35" s="292"/>
      <c r="C35" s="292"/>
      <c r="D35" s="292"/>
      <c r="E35" s="293"/>
    </row>
    <row r="36" spans="2:5" ht="15" thickBot="1" x14ac:dyDescent="0.35">
      <c r="B36" s="292" t="s">
        <v>608</v>
      </c>
      <c r="C36" s="292">
        <v>0</v>
      </c>
      <c r="D36" s="292">
        <v>0</v>
      </c>
      <c r="E36" s="293" t="s">
        <v>557</v>
      </c>
    </row>
    <row r="37" spans="2:5" ht="15" thickBot="1" x14ac:dyDescent="0.35">
      <c r="B37" s="292" t="s">
        <v>609</v>
      </c>
      <c r="C37" s="292">
        <v>13</v>
      </c>
      <c r="D37" s="292">
        <v>5</v>
      </c>
      <c r="E37" s="293" t="s">
        <v>557</v>
      </c>
    </row>
    <row r="38" spans="2:5" ht="15" thickBot="1" x14ac:dyDescent="0.35">
      <c r="B38" s="292" t="s">
        <v>610</v>
      </c>
      <c r="C38" s="292">
        <v>2</v>
      </c>
      <c r="D38" s="292">
        <v>1</v>
      </c>
      <c r="E38" s="293" t="s">
        <v>557</v>
      </c>
    </row>
    <row r="39" spans="2:5" ht="15" thickBot="1" x14ac:dyDescent="0.35">
      <c r="B39" s="292" t="s">
        <v>611</v>
      </c>
      <c r="C39" s="292"/>
      <c r="D39" s="292"/>
      <c r="E39" s="293"/>
    </row>
    <row r="40" spans="2:5" ht="15" thickBot="1" x14ac:dyDescent="0.35">
      <c r="B40" s="292" t="s">
        <v>612</v>
      </c>
      <c r="C40" s="292"/>
      <c r="D40" s="292"/>
      <c r="E40" s="293"/>
    </row>
    <row r="41" spans="2:5" ht="15" thickBot="1" x14ac:dyDescent="0.35">
      <c r="B41" s="292"/>
      <c r="C41" s="292"/>
      <c r="D41" s="292"/>
      <c r="E41" s="293"/>
    </row>
    <row r="42" spans="2:5" ht="15" thickBot="1" x14ac:dyDescent="0.35">
      <c r="B42" s="292" t="s">
        <v>608</v>
      </c>
      <c r="C42" s="292">
        <v>0</v>
      </c>
      <c r="D42" s="292">
        <v>1</v>
      </c>
      <c r="E42" s="293" t="s">
        <v>553</v>
      </c>
    </row>
    <row r="43" spans="2:5" ht="15" thickBot="1" x14ac:dyDescent="0.35">
      <c r="B43" s="292" t="s">
        <v>609</v>
      </c>
      <c r="C43" s="292">
        <v>0</v>
      </c>
      <c r="D43" s="292">
        <v>2</v>
      </c>
      <c r="E43" s="293" t="s">
        <v>553</v>
      </c>
    </row>
    <row r="44" spans="2:5" ht="15" thickBot="1" x14ac:dyDescent="0.35">
      <c r="B44" s="292" t="s">
        <v>610</v>
      </c>
      <c r="C44" s="292">
        <v>2</v>
      </c>
      <c r="D44" s="292">
        <v>2</v>
      </c>
      <c r="E44" s="293" t="s">
        <v>553</v>
      </c>
    </row>
    <row r="45" spans="2:5" ht="15" thickBot="1" x14ac:dyDescent="0.35">
      <c r="B45" s="292" t="s">
        <v>611</v>
      </c>
      <c r="C45" s="292"/>
      <c r="D45" s="292">
        <v>0</v>
      </c>
      <c r="E45" s="293"/>
    </row>
    <row r="46" spans="2:5" ht="15" thickBot="1" x14ac:dyDescent="0.35">
      <c r="B46" s="292" t="s">
        <v>612</v>
      </c>
      <c r="C46" s="292"/>
      <c r="D46" s="292">
        <v>1</v>
      </c>
      <c r="E46" s="293"/>
    </row>
    <row r="47" spans="2:5" ht="15" thickBot="1" x14ac:dyDescent="0.35">
      <c r="B47" s="292"/>
      <c r="C47" s="292"/>
      <c r="D47" s="292"/>
      <c r="E47" s="293"/>
    </row>
    <row r="48" spans="2:5" ht="15" thickBot="1" x14ac:dyDescent="0.35">
      <c r="B48" s="292" t="s">
        <v>608</v>
      </c>
      <c r="C48" s="292">
        <v>0</v>
      </c>
      <c r="D48" s="292">
        <v>0</v>
      </c>
      <c r="E48" s="293" t="s">
        <v>615</v>
      </c>
    </row>
    <row r="49" spans="2:5" ht="15" thickBot="1" x14ac:dyDescent="0.35">
      <c r="B49" s="292" t="s">
        <v>609</v>
      </c>
      <c r="C49" s="292">
        <v>2</v>
      </c>
      <c r="D49" s="292">
        <v>2</v>
      </c>
      <c r="E49" s="293" t="s">
        <v>615</v>
      </c>
    </row>
    <row r="50" spans="2:5" ht="15" thickBot="1" x14ac:dyDescent="0.35">
      <c r="B50" s="292" t="s">
        <v>610</v>
      </c>
      <c r="C50" s="292">
        <v>1</v>
      </c>
      <c r="D50" s="292">
        <v>0</v>
      </c>
      <c r="E50" s="293" t="s">
        <v>615</v>
      </c>
    </row>
    <row r="51" spans="2:5" ht="15" thickBot="1" x14ac:dyDescent="0.35">
      <c r="B51" s="292" t="s">
        <v>611</v>
      </c>
      <c r="C51" s="292"/>
      <c r="D51" s="292">
        <v>0</v>
      </c>
      <c r="E51" s="293"/>
    </row>
    <row r="52" spans="2:5" ht="15" thickBot="1" x14ac:dyDescent="0.35">
      <c r="B52" s="292" t="s">
        <v>612</v>
      </c>
      <c r="C52" s="292"/>
      <c r="D52" s="292">
        <v>0</v>
      </c>
      <c r="E52" s="293"/>
    </row>
    <row r="53" spans="2:5" ht="15" thickBot="1" x14ac:dyDescent="0.35">
      <c r="B53" s="292"/>
      <c r="C53" s="292"/>
      <c r="D53" s="292"/>
      <c r="E53" s="293"/>
    </row>
    <row r="54" spans="2:5" ht="15" thickBot="1" x14ac:dyDescent="0.35">
      <c r="B54" s="292" t="s">
        <v>608</v>
      </c>
      <c r="C54" s="292">
        <v>0</v>
      </c>
      <c r="D54" s="292">
        <v>0</v>
      </c>
      <c r="E54" s="293" t="s">
        <v>616</v>
      </c>
    </row>
    <row r="55" spans="2:5" ht="15" thickBot="1" x14ac:dyDescent="0.35">
      <c r="B55" s="292" t="s">
        <v>609</v>
      </c>
      <c r="C55" s="292">
        <v>11</v>
      </c>
      <c r="D55" s="292">
        <v>2</v>
      </c>
      <c r="E55" s="293" t="s">
        <v>616</v>
      </c>
    </row>
    <row r="56" spans="2:5" ht="15" thickBot="1" x14ac:dyDescent="0.35">
      <c r="B56" s="292" t="s">
        <v>610</v>
      </c>
      <c r="C56" s="292">
        <v>6</v>
      </c>
      <c r="D56" s="292">
        <v>2</v>
      </c>
      <c r="E56" s="293" t="s">
        <v>616</v>
      </c>
    </row>
    <row r="57" spans="2:5" ht="15" thickBot="1" x14ac:dyDescent="0.35">
      <c r="B57" s="292" t="s">
        <v>611</v>
      </c>
      <c r="C57" s="292"/>
      <c r="D57" s="292">
        <v>0</v>
      </c>
      <c r="E57" s="293" t="s">
        <v>616</v>
      </c>
    </row>
    <row r="58" spans="2:5" ht="15" thickBot="1" x14ac:dyDescent="0.35">
      <c r="B58" s="292" t="s">
        <v>612</v>
      </c>
      <c r="C58" s="292"/>
      <c r="D58" s="292">
        <v>0</v>
      </c>
      <c r="E58" s="293" t="s">
        <v>616</v>
      </c>
    </row>
    <row r="59" spans="2:5" ht="15" thickBot="1" x14ac:dyDescent="0.35">
      <c r="B59" s="292"/>
      <c r="C59" s="292"/>
      <c r="D59" s="292"/>
      <c r="E59" s="293"/>
    </row>
    <row r="60" spans="2:5" ht="15" thickBot="1" x14ac:dyDescent="0.35">
      <c r="B60" s="292" t="s">
        <v>608</v>
      </c>
      <c r="C60" s="292">
        <v>2</v>
      </c>
      <c r="D60" s="292">
        <v>1</v>
      </c>
      <c r="E60" s="293" t="s">
        <v>549</v>
      </c>
    </row>
    <row r="61" spans="2:5" ht="15" thickBot="1" x14ac:dyDescent="0.35">
      <c r="B61" s="292" t="s">
        <v>609</v>
      </c>
      <c r="C61" s="292">
        <v>2</v>
      </c>
      <c r="D61" s="292">
        <v>0</v>
      </c>
      <c r="E61" s="293" t="s">
        <v>549</v>
      </c>
    </row>
    <row r="62" spans="2:5" ht="15" thickBot="1" x14ac:dyDescent="0.35">
      <c r="B62" s="292" t="s">
        <v>610</v>
      </c>
      <c r="C62" s="292">
        <v>18</v>
      </c>
      <c r="D62" s="292">
        <v>0</v>
      </c>
      <c r="E62" s="293" t="s">
        <v>549</v>
      </c>
    </row>
    <row r="63" spans="2:5" ht="15" thickBot="1" x14ac:dyDescent="0.35">
      <c r="B63" s="292" t="s">
        <v>611</v>
      </c>
      <c r="C63" s="292"/>
      <c r="D63" s="292">
        <v>0</v>
      </c>
      <c r="E63" s="293" t="s">
        <v>549</v>
      </c>
    </row>
    <row r="64" spans="2:5" ht="15" thickBot="1" x14ac:dyDescent="0.35">
      <c r="B64" s="292" t="s">
        <v>612</v>
      </c>
      <c r="C64" s="292"/>
      <c r="D64" s="292">
        <v>0</v>
      </c>
      <c r="E64" s="293" t="s">
        <v>549</v>
      </c>
    </row>
    <row r="65" spans="2:5" ht="15" thickBot="1" x14ac:dyDescent="0.35">
      <c r="B65" s="292"/>
      <c r="C65" s="292"/>
      <c r="D65" s="292"/>
      <c r="E65" s="293"/>
    </row>
    <row r="66" spans="2:5" ht="15" thickBot="1" x14ac:dyDescent="0.35">
      <c r="B66" s="292" t="s">
        <v>608</v>
      </c>
      <c r="C66" s="292">
        <v>0</v>
      </c>
      <c r="D66" s="292">
        <v>0</v>
      </c>
      <c r="E66" s="293" t="s">
        <v>617</v>
      </c>
    </row>
    <row r="67" spans="2:5" ht="15" thickBot="1" x14ac:dyDescent="0.35">
      <c r="B67" s="292" t="s">
        <v>609</v>
      </c>
      <c r="C67" s="292">
        <v>0</v>
      </c>
      <c r="D67" s="292">
        <v>0</v>
      </c>
      <c r="E67" s="293" t="s">
        <v>617</v>
      </c>
    </row>
    <row r="68" spans="2:5" ht="15" thickBot="1" x14ac:dyDescent="0.35">
      <c r="B68" s="292" t="s">
        <v>610</v>
      </c>
      <c r="C68" s="292">
        <v>0</v>
      </c>
      <c r="D68" s="292">
        <v>0</v>
      </c>
      <c r="E68" s="293" t="s">
        <v>617</v>
      </c>
    </row>
    <row r="69" spans="2:5" ht="15" thickBot="1" x14ac:dyDescent="0.35">
      <c r="B69" s="292" t="s">
        <v>611</v>
      </c>
      <c r="C69" s="292"/>
      <c r="D69" s="292">
        <v>0</v>
      </c>
      <c r="E69" s="293" t="s">
        <v>617</v>
      </c>
    </row>
    <row r="70" spans="2:5" ht="15" thickBot="1" x14ac:dyDescent="0.35">
      <c r="B70" s="292" t="s">
        <v>612</v>
      </c>
      <c r="C70" s="292"/>
      <c r="D70" s="292">
        <v>0</v>
      </c>
      <c r="E70" s="293" t="s">
        <v>617</v>
      </c>
    </row>
    <row r="71" spans="2:5" ht="15" thickBot="1" x14ac:dyDescent="0.35">
      <c r="B71" s="292"/>
      <c r="C71" s="292"/>
      <c r="D71" s="292"/>
      <c r="E71" s="293"/>
    </row>
    <row r="72" spans="2:5" ht="15" thickBot="1" x14ac:dyDescent="0.35">
      <c r="B72" s="292" t="s">
        <v>608</v>
      </c>
      <c r="C72" s="292">
        <v>0</v>
      </c>
      <c r="D72" s="292">
        <v>0</v>
      </c>
      <c r="E72" s="293" t="s">
        <v>534</v>
      </c>
    </row>
    <row r="73" spans="2:5" ht="15" thickBot="1" x14ac:dyDescent="0.35">
      <c r="B73" s="292" t="s">
        <v>609</v>
      </c>
      <c r="C73" s="292">
        <v>13</v>
      </c>
      <c r="D73" s="292">
        <v>5</v>
      </c>
      <c r="E73" s="293" t="s">
        <v>534</v>
      </c>
    </row>
    <row r="74" spans="2:5" ht="15" thickBot="1" x14ac:dyDescent="0.35">
      <c r="B74" s="292" t="s">
        <v>610</v>
      </c>
      <c r="C74" s="292">
        <v>8</v>
      </c>
      <c r="D74" s="292">
        <v>4</v>
      </c>
      <c r="E74" s="293" t="s">
        <v>534</v>
      </c>
    </row>
    <row r="75" spans="2:5" ht="15" thickBot="1" x14ac:dyDescent="0.35">
      <c r="B75" s="292" t="s">
        <v>611</v>
      </c>
      <c r="C75" s="292"/>
      <c r="D75" s="292">
        <v>0</v>
      </c>
      <c r="E75" s="293" t="s">
        <v>534</v>
      </c>
    </row>
    <row r="76" spans="2:5" ht="15" thickBot="1" x14ac:dyDescent="0.35">
      <c r="B76" s="292" t="s">
        <v>612</v>
      </c>
      <c r="C76" s="292"/>
      <c r="D76" s="292">
        <v>0</v>
      </c>
      <c r="E76" s="293" t="s">
        <v>534</v>
      </c>
    </row>
    <row r="77" spans="2:5" ht="15" thickBot="1" x14ac:dyDescent="0.35">
      <c r="B77" s="292"/>
      <c r="C77" s="292"/>
      <c r="D77" s="292"/>
      <c r="E77" s="293"/>
    </row>
    <row r="78" spans="2:5" ht="15" thickBot="1" x14ac:dyDescent="0.35">
      <c r="B78" s="292" t="s">
        <v>608</v>
      </c>
      <c r="C78" s="292">
        <v>0</v>
      </c>
      <c r="D78" s="292">
        <v>0</v>
      </c>
      <c r="E78" s="293" t="s">
        <v>618</v>
      </c>
    </row>
    <row r="79" spans="2:5" ht="15" thickBot="1" x14ac:dyDescent="0.35">
      <c r="B79" s="292" t="s">
        <v>609</v>
      </c>
      <c r="C79" s="292">
        <v>3</v>
      </c>
      <c r="D79" s="292">
        <v>2</v>
      </c>
      <c r="E79" s="293" t="s">
        <v>618</v>
      </c>
    </row>
    <row r="80" spans="2:5" ht="15" thickBot="1" x14ac:dyDescent="0.35">
      <c r="B80" s="292" t="s">
        <v>610</v>
      </c>
      <c r="C80" s="292">
        <v>2</v>
      </c>
      <c r="D80" s="292">
        <v>3</v>
      </c>
      <c r="E80" s="293" t="s">
        <v>618</v>
      </c>
    </row>
    <row r="81" spans="2:5" ht="15" thickBot="1" x14ac:dyDescent="0.35">
      <c r="B81" s="292" t="s">
        <v>611</v>
      </c>
      <c r="C81" s="292"/>
      <c r="D81" s="292">
        <v>0</v>
      </c>
      <c r="E81" s="293" t="s">
        <v>618</v>
      </c>
    </row>
    <row r="82" spans="2:5" ht="15" thickBot="1" x14ac:dyDescent="0.35">
      <c r="B82" s="292" t="s">
        <v>612</v>
      </c>
      <c r="C82" s="292"/>
      <c r="D82" s="292">
        <v>0</v>
      </c>
      <c r="E82" s="293" t="s">
        <v>618</v>
      </c>
    </row>
    <row r="83" spans="2:5" ht="15" thickBot="1" x14ac:dyDescent="0.35">
      <c r="B83" s="292"/>
      <c r="C83" s="292"/>
      <c r="D83" s="292"/>
      <c r="E83" s="293"/>
    </row>
    <row r="84" spans="2:5" ht="15" thickBot="1" x14ac:dyDescent="0.35">
      <c r="B84" s="292" t="s">
        <v>608</v>
      </c>
      <c r="C84" s="292">
        <v>0</v>
      </c>
      <c r="D84" s="292">
        <v>1</v>
      </c>
      <c r="E84" s="293" t="s">
        <v>619</v>
      </c>
    </row>
    <row r="85" spans="2:5" ht="15" thickBot="1" x14ac:dyDescent="0.35">
      <c r="B85" s="292" t="s">
        <v>609</v>
      </c>
      <c r="C85" s="292">
        <v>28</v>
      </c>
      <c r="D85" s="292">
        <v>6</v>
      </c>
      <c r="E85" s="293" t="s">
        <v>619</v>
      </c>
    </row>
    <row r="86" spans="2:5" ht="15" thickBot="1" x14ac:dyDescent="0.35">
      <c r="B86" s="292" t="s">
        <v>610</v>
      </c>
      <c r="C86" s="292">
        <v>45</v>
      </c>
      <c r="D86" s="292">
        <v>4</v>
      </c>
      <c r="E86" s="293" t="s">
        <v>619</v>
      </c>
    </row>
    <row r="87" spans="2:5" ht="15" thickBot="1" x14ac:dyDescent="0.35">
      <c r="B87" s="292" t="s">
        <v>611</v>
      </c>
      <c r="C87" s="292"/>
      <c r="D87" s="292">
        <v>0</v>
      </c>
      <c r="E87" s="293"/>
    </row>
    <row r="88" spans="2:5" ht="15" thickBot="1" x14ac:dyDescent="0.35">
      <c r="B88" s="292" t="s">
        <v>612</v>
      </c>
      <c r="C88" s="292"/>
      <c r="D88" s="292">
        <v>0</v>
      </c>
      <c r="E88" s="293"/>
    </row>
    <row r="89" spans="2:5" ht="15" thickBot="1" x14ac:dyDescent="0.35">
      <c r="B89" s="292"/>
      <c r="C89" s="292"/>
      <c r="D89" s="292"/>
      <c r="E89" s="293"/>
    </row>
    <row r="90" spans="2:5" ht="15" thickBot="1" x14ac:dyDescent="0.35">
      <c r="B90" s="292" t="s">
        <v>608</v>
      </c>
      <c r="C90" s="292">
        <v>0</v>
      </c>
      <c r="D90" s="292">
        <v>0</v>
      </c>
      <c r="E90" s="293" t="s">
        <v>620</v>
      </c>
    </row>
    <row r="91" spans="2:5" ht="15" thickBot="1" x14ac:dyDescent="0.35">
      <c r="B91" s="292" t="s">
        <v>609</v>
      </c>
      <c r="C91" s="292">
        <v>4</v>
      </c>
      <c r="D91" s="292">
        <v>2</v>
      </c>
      <c r="E91" s="293" t="s">
        <v>620</v>
      </c>
    </row>
    <row r="92" spans="2:5" ht="15" thickBot="1" x14ac:dyDescent="0.35">
      <c r="B92" s="292" t="s">
        <v>610</v>
      </c>
      <c r="C92" s="292">
        <v>6</v>
      </c>
      <c r="D92" s="292">
        <v>1</v>
      </c>
      <c r="E92" s="293" t="s">
        <v>620</v>
      </c>
    </row>
    <row r="93" spans="2:5" ht="15" thickBot="1" x14ac:dyDescent="0.35">
      <c r="B93" s="292" t="s">
        <v>611</v>
      </c>
      <c r="C93" s="292"/>
      <c r="D93" s="292">
        <v>2</v>
      </c>
      <c r="E93" s="293" t="s">
        <v>620</v>
      </c>
    </row>
    <row r="94" spans="2:5" ht="15" thickBot="1" x14ac:dyDescent="0.35">
      <c r="B94" s="292" t="s">
        <v>612</v>
      </c>
      <c r="C94" s="292"/>
      <c r="D94" s="292">
        <v>0</v>
      </c>
      <c r="E94" s="293" t="s">
        <v>620</v>
      </c>
    </row>
    <row r="95" spans="2:5" ht="15" thickBot="1" x14ac:dyDescent="0.35">
      <c r="B95" s="292"/>
      <c r="C95" s="292"/>
      <c r="D95" s="292"/>
      <c r="E95" s="293"/>
    </row>
    <row r="96" spans="2:5" ht="15" thickBot="1" x14ac:dyDescent="0.35">
      <c r="B96" s="292" t="s">
        <v>608</v>
      </c>
      <c r="C96" s="292">
        <v>0</v>
      </c>
      <c r="D96" s="292">
        <v>0</v>
      </c>
      <c r="E96" s="293" t="s">
        <v>621</v>
      </c>
    </row>
    <row r="97" spans="2:5" ht="15" thickBot="1" x14ac:dyDescent="0.35">
      <c r="B97" s="292" t="s">
        <v>609</v>
      </c>
      <c r="C97" s="292">
        <v>6</v>
      </c>
      <c r="D97" s="292">
        <v>2</v>
      </c>
      <c r="E97" s="293" t="s">
        <v>621</v>
      </c>
    </row>
    <row r="98" spans="2:5" ht="15" thickBot="1" x14ac:dyDescent="0.35">
      <c r="B98" s="292" t="s">
        <v>610</v>
      </c>
      <c r="C98" s="292">
        <v>0</v>
      </c>
      <c r="D98" s="292">
        <v>1</v>
      </c>
      <c r="E98" s="293" t="s">
        <v>621</v>
      </c>
    </row>
    <row r="99" spans="2:5" ht="15" thickBot="1" x14ac:dyDescent="0.35">
      <c r="B99" s="292" t="s">
        <v>611</v>
      </c>
      <c r="C99" s="292"/>
      <c r="D99" s="292">
        <v>2</v>
      </c>
      <c r="E99" s="293" t="s">
        <v>621</v>
      </c>
    </row>
    <row r="100" spans="2:5" ht="15" thickBot="1" x14ac:dyDescent="0.35">
      <c r="B100" s="292" t="s">
        <v>612</v>
      </c>
      <c r="C100" s="292"/>
      <c r="D100" s="292">
        <v>0</v>
      </c>
      <c r="E100" s="293" t="s">
        <v>621</v>
      </c>
    </row>
    <row r="101" spans="2:5" ht="15" thickBot="1" x14ac:dyDescent="0.35">
      <c r="B101" s="292"/>
      <c r="C101" s="292"/>
      <c r="D101" s="292"/>
      <c r="E101" s="293"/>
    </row>
    <row r="102" spans="2:5" ht="15" thickBot="1" x14ac:dyDescent="0.35">
      <c r="B102" s="292" t="s">
        <v>608</v>
      </c>
      <c r="C102" s="292">
        <v>0</v>
      </c>
      <c r="D102" s="292">
        <v>0</v>
      </c>
      <c r="E102" s="293" t="s">
        <v>622</v>
      </c>
    </row>
    <row r="103" spans="2:5" ht="15" thickBot="1" x14ac:dyDescent="0.35">
      <c r="B103" s="292" t="s">
        <v>609</v>
      </c>
      <c r="C103" s="292">
        <v>0</v>
      </c>
      <c r="D103" s="292">
        <v>0</v>
      </c>
      <c r="E103" s="293" t="s">
        <v>622</v>
      </c>
    </row>
    <row r="104" spans="2:5" ht="15" thickBot="1" x14ac:dyDescent="0.35">
      <c r="B104" s="292" t="s">
        <v>610</v>
      </c>
      <c r="C104" s="292">
        <v>0</v>
      </c>
      <c r="D104" s="292">
        <v>0</v>
      </c>
      <c r="E104" s="293" t="s">
        <v>622</v>
      </c>
    </row>
    <row r="105" spans="2:5" ht="15" thickBot="1" x14ac:dyDescent="0.35">
      <c r="B105" s="292" t="s">
        <v>611</v>
      </c>
      <c r="C105" s="292"/>
      <c r="D105" s="292"/>
      <c r="E105" s="293"/>
    </row>
    <row r="106" spans="2:5" ht="15" thickBot="1" x14ac:dyDescent="0.35">
      <c r="B106" s="292" t="s">
        <v>612</v>
      </c>
      <c r="C106" s="292"/>
      <c r="D106" s="292"/>
      <c r="E106" s="293"/>
    </row>
    <row r="107" spans="2:5" ht="15" thickBot="1" x14ac:dyDescent="0.35">
      <c r="B107" s="292"/>
      <c r="C107" s="292"/>
      <c r="D107" s="292"/>
      <c r="E107" s="293"/>
    </row>
    <row r="108" spans="2:5" ht="15" thickBot="1" x14ac:dyDescent="0.35">
      <c r="B108" s="292" t="s">
        <v>608</v>
      </c>
      <c r="C108" s="292">
        <v>0</v>
      </c>
      <c r="D108" s="292">
        <v>0</v>
      </c>
      <c r="E108" s="293" t="s">
        <v>551</v>
      </c>
    </row>
    <row r="109" spans="2:5" ht="15" thickBot="1" x14ac:dyDescent="0.35">
      <c r="B109" s="292" t="s">
        <v>609</v>
      </c>
      <c r="C109" s="292">
        <v>6</v>
      </c>
      <c r="D109" s="292">
        <v>2</v>
      </c>
      <c r="E109" s="293" t="s">
        <v>551</v>
      </c>
    </row>
    <row r="110" spans="2:5" ht="15" thickBot="1" x14ac:dyDescent="0.35">
      <c r="B110" s="292" t="s">
        <v>610</v>
      </c>
      <c r="C110" s="292">
        <v>6</v>
      </c>
      <c r="D110" s="292">
        <v>1</v>
      </c>
      <c r="E110" s="293" t="s">
        <v>551</v>
      </c>
    </row>
    <row r="111" spans="2:5" ht="15" thickBot="1" x14ac:dyDescent="0.35">
      <c r="B111" s="292" t="s">
        <v>611</v>
      </c>
      <c r="C111" s="292"/>
      <c r="D111" s="292">
        <v>2</v>
      </c>
      <c r="E111" s="293" t="s">
        <v>551</v>
      </c>
    </row>
    <row r="112" spans="2:5" ht="15" thickBot="1" x14ac:dyDescent="0.35">
      <c r="B112" s="292" t="s">
        <v>612</v>
      </c>
      <c r="C112" s="292"/>
      <c r="D112" s="292">
        <v>0</v>
      </c>
      <c r="E112" s="293" t="s">
        <v>551</v>
      </c>
    </row>
    <row r="113" spans="2:5" ht="15" thickBot="1" x14ac:dyDescent="0.35">
      <c r="B113" s="292"/>
      <c r="C113" s="292"/>
      <c r="D113" s="292"/>
      <c r="E113" s="293"/>
    </row>
    <row r="114" spans="2:5" ht="15" thickBot="1" x14ac:dyDescent="0.35">
      <c r="B114" s="292" t="s">
        <v>608</v>
      </c>
      <c r="C114" s="292">
        <v>0</v>
      </c>
      <c r="D114" s="292">
        <v>0</v>
      </c>
      <c r="E114" s="293" t="s">
        <v>572</v>
      </c>
    </row>
    <row r="115" spans="2:5" ht="15" thickBot="1" x14ac:dyDescent="0.35">
      <c r="B115" s="292" t="s">
        <v>609</v>
      </c>
      <c r="C115" s="292">
        <v>32</v>
      </c>
      <c r="D115" s="292">
        <v>3</v>
      </c>
      <c r="E115" s="293" t="s">
        <v>572</v>
      </c>
    </row>
    <row r="116" spans="2:5" ht="15" thickBot="1" x14ac:dyDescent="0.35">
      <c r="B116" s="292" t="s">
        <v>610</v>
      </c>
      <c r="C116" s="292">
        <v>28</v>
      </c>
      <c r="D116" s="292">
        <v>6</v>
      </c>
      <c r="E116" s="293" t="s">
        <v>572</v>
      </c>
    </row>
    <row r="117" spans="2:5" ht="15" thickBot="1" x14ac:dyDescent="0.35">
      <c r="B117" s="292" t="s">
        <v>611</v>
      </c>
      <c r="C117" s="292"/>
      <c r="D117" s="292">
        <v>0</v>
      </c>
      <c r="E117" s="293" t="s">
        <v>572</v>
      </c>
    </row>
    <row r="118" spans="2:5" ht="15" thickBot="1" x14ac:dyDescent="0.35">
      <c r="B118" s="292" t="s">
        <v>612</v>
      </c>
      <c r="C118" s="292"/>
      <c r="D118" s="292">
        <v>0</v>
      </c>
      <c r="E118" s="293" t="s">
        <v>572</v>
      </c>
    </row>
    <row r="119" spans="2:5" ht="15" thickBot="1" x14ac:dyDescent="0.35">
      <c r="B119" s="292"/>
      <c r="C119" s="292"/>
      <c r="D119" s="292"/>
      <c r="E119" s="293"/>
    </row>
    <row r="120" spans="2:5" ht="15" thickBot="1" x14ac:dyDescent="0.35">
      <c r="B120" s="292" t="s">
        <v>608</v>
      </c>
      <c r="C120" s="292">
        <v>0</v>
      </c>
      <c r="D120" s="292">
        <v>0</v>
      </c>
      <c r="E120" s="293" t="s">
        <v>623</v>
      </c>
    </row>
    <row r="121" spans="2:5" ht="15" thickBot="1" x14ac:dyDescent="0.35">
      <c r="B121" s="292" t="s">
        <v>609</v>
      </c>
      <c r="C121" s="292">
        <v>21</v>
      </c>
      <c r="D121" s="292">
        <v>3</v>
      </c>
      <c r="E121" s="293" t="s">
        <v>623</v>
      </c>
    </row>
    <row r="122" spans="2:5" ht="15" thickBot="1" x14ac:dyDescent="0.35">
      <c r="B122" s="292" t="s">
        <v>610</v>
      </c>
      <c r="C122" s="292">
        <v>0</v>
      </c>
      <c r="D122" s="292">
        <v>1</v>
      </c>
      <c r="E122" s="293" t="s">
        <v>623</v>
      </c>
    </row>
    <row r="123" spans="2:5" ht="15" thickBot="1" x14ac:dyDescent="0.35">
      <c r="B123" s="292" t="s">
        <v>611</v>
      </c>
      <c r="C123" s="292"/>
      <c r="D123" s="292">
        <v>0</v>
      </c>
      <c r="E123" s="293" t="s">
        <v>623</v>
      </c>
    </row>
    <row r="124" spans="2:5" ht="15" thickBot="1" x14ac:dyDescent="0.35">
      <c r="B124" s="292" t="s">
        <v>612</v>
      </c>
      <c r="C124" s="292"/>
      <c r="D124" s="292">
        <v>2</v>
      </c>
      <c r="E124" s="293" t="s">
        <v>623</v>
      </c>
    </row>
    <row r="125" spans="2:5" ht="15" thickBot="1" x14ac:dyDescent="0.35">
      <c r="B125" s="292"/>
      <c r="C125" s="292"/>
      <c r="D125" s="292"/>
      <c r="E125" s="293"/>
    </row>
    <row r="126" spans="2:5" ht="15" thickBot="1" x14ac:dyDescent="0.35">
      <c r="B126" s="292" t="s">
        <v>608</v>
      </c>
      <c r="C126" s="292">
        <v>0</v>
      </c>
      <c r="D126" s="292">
        <v>0</v>
      </c>
      <c r="E126" s="293" t="s">
        <v>561</v>
      </c>
    </row>
    <row r="127" spans="2:5" ht="15" thickBot="1" x14ac:dyDescent="0.35">
      <c r="B127" s="292" t="s">
        <v>609</v>
      </c>
      <c r="C127" s="292">
        <v>24</v>
      </c>
      <c r="D127" s="292">
        <v>2</v>
      </c>
      <c r="E127" s="293" t="s">
        <v>561</v>
      </c>
    </row>
    <row r="128" spans="2:5" ht="15" thickBot="1" x14ac:dyDescent="0.35">
      <c r="B128" s="292" t="s">
        <v>610</v>
      </c>
      <c r="C128" s="292">
        <v>1</v>
      </c>
      <c r="D128" s="292">
        <v>2</v>
      </c>
      <c r="E128" s="293" t="s">
        <v>561</v>
      </c>
    </row>
    <row r="129" spans="2:5" ht="15" thickBot="1" x14ac:dyDescent="0.35">
      <c r="B129" s="292" t="s">
        <v>611</v>
      </c>
      <c r="C129" s="292"/>
      <c r="D129" s="292">
        <v>0</v>
      </c>
      <c r="E129" s="293"/>
    </row>
    <row r="130" spans="2:5" ht="15" thickBot="1" x14ac:dyDescent="0.35">
      <c r="B130" s="292" t="s">
        <v>612</v>
      </c>
      <c r="C130" s="292"/>
      <c r="D130" s="292">
        <v>0</v>
      </c>
      <c r="E130" s="293"/>
    </row>
    <row r="131" spans="2:5" ht="15" thickBot="1" x14ac:dyDescent="0.35">
      <c r="B131" s="292"/>
      <c r="C131" s="292"/>
      <c r="D131" s="292"/>
      <c r="E131" s="293"/>
    </row>
    <row r="132" spans="2:5" ht="15" thickBot="1" x14ac:dyDescent="0.35">
      <c r="B132" s="292" t="s">
        <v>608</v>
      </c>
      <c r="C132" s="292">
        <v>10</v>
      </c>
      <c r="D132" s="292">
        <v>3</v>
      </c>
      <c r="E132" s="293" t="s">
        <v>545</v>
      </c>
    </row>
    <row r="133" spans="2:5" ht="15" thickBot="1" x14ac:dyDescent="0.35">
      <c r="B133" s="292" t="s">
        <v>609</v>
      </c>
      <c r="C133" s="292">
        <v>38</v>
      </c>
      <c r="D133" s="292">
        <v>4</v>
      </c>
      <c r="E133" s="293" t="s">
        <v>545</v>
      </c>
    </row>
    <row r="134" spans="2:5" ht="15" thickBot="1" x14ac:dyDescent="0.35">
      <c r="B134" s="292" t="s">
        <v>610</v>
      </c>
      <c r="C134" s="292">
        <v>51</v>
      </c>
      <c r="D134" s="292">
        <v>4</v>
      </c>
      <c r="E134" s="293" t="s">
        <v>545</v>
      </c>
    </row>
    <row r="135" spans="2:5" ht="15" thickBot="1" x14ac:dyDescent="0.35">
      <c r="B135" s="292" t="s">
        <v>611</v>
      </c>
      <c r="C135" s="292"/>
      <c r="D135" s="292">
        <v>0</v>
      </c>
      <c r="E135" s="293" t="s">
        <v>545</v>
      </c>
    </row>
    <row r="136" spans="2:5" ht="15" thickBot="1" x14ac:dyDescent="0.35">
      <c r="B136" s="292" t="s">
        <v>612</v>
      </c>
      <c r="C136" s="292"/>
      <c r="D136" s="292">
        <v>0</v>
      </c>
      <c r="E136" s="293" t="s">
        <v>545</v>
      </c>
    </row>
    <row r="137" spans="2:5" ht="15" thickBot="1" x14ac:dyDescent="0.35">
      <c r="B137" s="292"/>
      <c r="C137" s="292"/>
      <c r="D137" s="292"/>
      <c r="E137" s="293"/>
    </row>
    <row r="138" spans="2:5" ht="15" thickBot="1" x14ac:dyDescent="0.35">
      <c r="B138" s="292" t="s">
        <v>608</v>
      </c>
      <c r="C138" s="292">
        <v>0</v>
      </c>
      <c r="D138" s="292">
        <v>0</v>
      </c>
      <c r="E138" s="293" t="s">
        <v>570</v>
      </c>
    </row>
    <row r="139" spans="2:5" ht="15" thickBot="1" x14ac:dyDescent="0.35">
      <c r="B139" s="292" t="s">
        <v>609</v>
      </c>
      <c r="C139" s="292">
        <v>8</v>
      </c>
      <c r="D139" s="292">
        <v>2</v>
      </c>
      <c r="E139" s="293" t="s">
        <v>570</v>
      </c>
    </row>
    <row r="140" spans="2:5" ht="15" thickBot="1" x14ac:dyDescent="0.35">
      <c r="B140" s="292" t="s">
        <v>610</v>
      </c>
      <c r="C140" s="292">
        <v>0</v>
      </c>
      <c r="D140" s="292">
        <v>2</v>
      </c>
      <c r="E140" s="293" t="s">
        <v>570</v>
      </c>
    </row>
    <row r="141" spans="2:5" ht="15" thickBot="1" x14ac:dyDescent="0.35">
      <c r="B141" s="292" t="s">
        <v>611</v>
      </c>
      <c r="C141" s="292"/>
      <c r="D141" s="292">
        <v>0</v>
      </c>
      <c r="E141" s="293"/>
    </row>
    <row r="142" spans="2:5" ht="15" thickBot="1" x14ac:dyDescent="0.35">
      <c r="B142" s="292" t="s">
        <v>612</v>
      </c>
      <c r="C142" s="292"/>
      <c r="D142" s="292">
        <v>1</v>
      </c>
      <c r="E142" s="293"/>
    </row>
    <row r="143" spans="2:5" ht="15" thickBot="1" x14ac:dyDescent="0.35">
      <c r="B143" s="292"/>
      <c r="C143" s="292"/>
      <c r="D143" s="292"/>
      <c r="E143" s="293"/>
    </row>
    <row r="144" spans="2:5" ht="15" thickBot="1" x14ac:dyDescent="0.35">
      <c r="B144" s="292" t="s">
        <v>608</v>
      </c>
      <c r="C144" s="292">
        <v>0</v>
      </c>
      <c r="D144" s="292">
        <v>0</v>
      </c>
      <c r="E144" s="293" t="s">
        <v>624</v>
      </c>
    </row>
    <row r="145" spans="2:5" ht="15" thickBot="1" x14ac:dyDescent="0.35">
      <c r="B145" s="292" t="s">
        <v>609</v>
      </c>
      <c r="C145" s="292">
        <v>2</v>
      </c>
      <c r="D145" s="292">
        <v>3</v>
      </c>
      <c r="E145" s="293" t="s">
        <v>624</v>
      </c>
    </row>
    <row r="146" spans="2:5" ht="15" thickBot="1" x14ac:dyDescent="0.35">
      <c r="B146" s="292" t="s">
        <v>610</v>
      </c>
      <c r="C146" s="292">
        <v>9</v>
      </c>
      <c r="D146" s="292">
        <v>3</v>
      </c>
      <c r="E146" s="293" t="s">
        <v>624</v>
      </c>
    </row>
    <row r="147" spans="2:5" ht="15" thickBot="1" x14ac:dyDescent="0.35">
      <c r="B147" s="292" t="s">
        <v>611</v>
      </c>
      <c r="C147" s="292"/>
      <c r="D147" s="292">
        <v>0</v>
      </c>
      <c r="E147" s="293" t="s">
        <v>624</v>
      </c>
    </row>
    <row r="148" spans="2:5" ht="15" thickBot="1" x14ac:dyDescent="0.35">
      <c r="B148" s="292" t="s">
        <v>612</v>
      </c>
      <c r="C148" s="292"/>
      <c r="D148" s="292">
        <v>0</v>
      </c>
      <c r="E148" s="293" t="s">
        <v>624</v>
      </c>
    </row>
    <row r="149" spans="2:5" ht="15" thickBot="1" x14ac:dyDescent="0.35">
      <c r="B149" s="292"/>
      <c r="C149" s="292"/>
      <c r="D149" s="292"/>
      <c r="E149" s="293"/>
    </row>
    <row r="150" spans="2:5" ht="15" thickBot="1" x14ac:dyDescent="0.35">
      <c r="B150" s="292" t="s">
        <v>608</v>
      </c>
      <c r="C150" s="292">
        <v>0</v>
      </c>
      <c r="D150" s="292">
        <v>0</v>
      </c>
      <c r="E150" s="293" t="s">
        <v>569</v>
      </c>
    </row>
    <row r="151" spans="2:5" ht="15" thickBot="1" x14ac:dyDescent="0.35">
      <c r="B151" s="292" t="s">
        <v>609</v>
      </c>
      <c r="C151" s="292">
        <v>19</v>
      </c>
      <c r="D151" s="292">
        <v>1</v>
      </c>
      <c r="E151" s="293" t="s">
        <v>569</v>
      </c>
    </row>
    <row r="152" spans="2:5" ht="15" thickBot="1" x14ac:dyDescent="0.35">
      <c r="B152" s="292" t="s">
        <v>610</v>
      </c>
      <c r="C152" s="292">
        <v>4</v>
      </c>
      <c r="D152" s="292">
        <v>0</v>
      </c>
      <c r="E152" s="293" t="s">
        <v>569</v>
      </c>
    </row>
    <row r="153" spans="2:5" ht="15" thickBot="1" x14ac:dyDescent="0.35">
      <c r="B153" s="292" t="s">
        <v>611</v>
      </c>
      <c r="C153" s="292"/>
      <c r="D153" s="292">
        <v>0</v>
      </c>
      <c r="E153" s="293" t="s">
        <v>569</v>
      </c>
    </row>
    <row r="154" spans="2:5" ht="15" thickBot="1" x14ac:dyDescent="0.35">
      <c r="B154" s="292" t="s">
        <v>612</v>
      </c>
      <c r="C154" s="292"/>
      <c r="D154" s="292">
        <v>0</v>
      </c>
      <c r="E154" s="293" t="s">
        <v>569</v>
      </c>
    </row>
    <row r="155" spans="2:5" ht="15" thickBot="1" x14ac:dyDescent="0.35">
      <c r="B155" s="292"/>
      <c r="C155" s="292"/>
      <c r="D155" s="292"/>
      <c r="E155" s="293"/>
    </row>
    <row r="156" spans="2:5" ht="15" thickBot="1" x14ac:dyDescent="0.35">
      <c r="B156" s="292" t="s">
        <v>608</v>
      </c>
      <c r="C156" s="292">
        <v>0</v>
      </c>
      <c r="D156" s="292">
        <v>0</v>
      </c>
      <c r="E156" s="293" t="s">
        <v>576</v>
      </c>
    </row>
    <row r="157" spans="2:5" ht="15" thickBot="1" x14ac:dyDescent="0.35">
      <c r="B157" s="292" t="s">
        <v>609</v>
      </c>
      <c r="C157" s="292">
        <v>8</v>
      </c>
      <c r="D157" s="292">
        <v>5</v>
      </c>
      <c r="E157" s="293" t="s">
        <v>576</v>
      </c>
    </row>
    <row r="158" spans="2:5" ht="15" thickBot="1" x14ac:dyDescent="0.35">
      <c r="B158" s="292" t="s">
        <v>610</v>
      </c>
      <c r="C158" s="292">
        <v>12</v>
      </c>
      <c r="D158" s="292">
        <v>4</v>
      </c>
      <c r="E158" s="293" t="s">
        <v>576</v>
      </c>
    </row>
    <row r="159" spans="2:5" ht="15" thickBot="1" x14ac:dyDescent="0.35">
      <c r="B159" s="292" t="s">
        <v>611</v>
      </c>
      <c r="C159" s="292"/>
      <c r="D159" s="292">
        <v>3</v>
      </c>
      <c r="E159" s="293" t="s">
        <v>576</v>
      </c>
    </row>
    <row r="160" spans="2:5" ht="15" thickBot="1" x14ac:dyDescent="0.35">
      <c r="B160" s="292" t="s">
        <v>612</v>
      </c>
      <c r="C160" s="292"/>
      <c r="D160" s="292">
        <v>2</v>
      </c>
      <c r="E160" s="293" t="s">
        <v>576</v>
      </c>
    </row>
    <row r="161" spans="2:5" ht="15" thickBot="1" x14ac:dyDescent="0.35">
      <c r="B161" s="292"/>
      <c r="C161" s="292"/>
      <c r="D161" s="292"/>
      <c r="E161" s="293"/>
    </row>
    <row r="162" spans="2:5" ht="15" thickBot="1" x14ac:dyDescent="0.35">
      <c r="B162" s="292" t="s">
        <v>608</v>
      </c>
      <c r="C162" s="292">
        <v>0</v>
      </c>
      <c r="D162" s="292">
        <v>0</v>
      </c>
      <c r="E162" s="293" t="s">
        <v>537</v>
      </c>
    </row>
    <row r="163" spans="2:5" ht="15" thickBot="1" x14ac:dyDescent="0.35">
      <c r="B163" s="292" t="s">
        <v>609</v>
      </c>
      <c r="C163" s="292">
        <v>4</v>
      </c>
      <c r="D163" s="292">
        <v>5</v>
      </c>
      <c r="E163" s="293" t="s">
        <v>537</v>
      </c>
    </row>
    <row r="164" spans="2:5" ht="15" thickBot="1" x14ac:dyDescent="0.35">
      <c r="B164" s="292" t="s">
        <v>610</v>
      </c>
      <c r="C164" s="292">
        <v>4</v>
      </c>
      <c r="D164" s="292">
        <v>4</v>
      </c>
      <c r="E164" s="293" t="s">
        <v>537</v>
      </c>
    </row>
    <row r="165" spans="2:5" ht="15" thickBot="1" x14ac:dyDescent="0.35">
      <c r="B165" s="292" t="s">
        <v>611</v>
      </c>
      <c r="C165" s="292"/>
      <c r="D165" s="292">
        <v>0</v>
      </c>
      <c r="E165" s="293" t="s">
        <v>537</v>
      </c>
    </row>
    <row r="166" spans="2:5" ht="15" thickBot="1" x14ac:dyDescent="0.35">
      <c r="B166" s="292" t="s">
        <v>612</v>
      </c>
      <c r="C166" s="292"/>
      <c r="D166" s="292">
        <v>0</v>
      </c>
      <c r="E166" s="293" t="s">
        <v>537</v>
      </c>
    </row>
    <row r="167" spans="2:5" ht="15" thickBot="1" x14ac:dyDescent="0.35">
      <c r="B167" s="292"/>
      <c r="C167" s="292"/>
      <c r="D167" s="292"/>
      <c r="E167" s="293"/>
    </row>
    <row r="168" spans="2:5" ht="15" thickBot="1" x14ac:dyDescent="0.35">
      <c r="B168" s="292" t="s">
        <v>608</v>
      </c>
      <c r="C168" s="292">
        <v>0</v>
      </c>
      <c r="D168" s="292">
        <v>0</v>
      </c>
      <c r="E168" s="293" t="s">
        <v>566</v>
      </c>
    </row>
    <row r="169" spans="2:5" ht="15" thickBot="1" x14ac:dyDescent="0.35">
      <c r="B169" s="292" t="s">
        <v>609</v>
      </c>
      <c r="C169" s="292">
        <v>12</v>
      </c>
      <c r="D169" s="292">
        <v>9</v>
      </c>
      <c r="E169" s="293" t="s">
        <v>566</v>
      </c>
    </row>
    <row r="170" spans="2:5" ht="15" thickBot="1" x14ac:dyDescent="0.35">
      <c r="B170" s="292" t="s">
        <v>610</v>
      </c>
      <c r="C170" s="292">
        <v>13</v>
      </c>
      <c r="D170" s="292">
        <v>0</v>
      </c>
      <c r="E170" s="293" t="s">
        <v>566</v>
      </c>
    </row>
    <row r="171" spans="2:5" ht="15" thickBot="1" x14ac:dyDescent="0.35">
      <c r="B171" s="292" t="s">
        <v>611</v>
      </c>
      <c r="C171" s="292"/>
      <c r="D171" s="292">
        <v>1</v>
      </c>
      <c r="E171" s="293" t="s">
        <v>566</v>
      </c>
    </row>
    <row r="172" spans="2:5" ht="15" thickBot="1" x14ac:dyDescent="0.35">
      <c r="B172" s="292" t="s">
        <v>612</v>
      </c>
      <c r="C172" s="292"/>
      <c r="D172" s="292">
        <v>0</v>
      </c>
      <c r="E172" s="293" t="s">
        <v>566</v>
      </c>
    </row>
    <row r="173" spans="2:5" x14ac:dyDescent="0.3">
      <c r="C173" s="90">
        <f>SUM(C6:C172)</f>
        <v>561</v>
      </c>
      <c r="D173" s="90">
        <f>SUM(D6:D172)</f>
        <v>173</v>
      </c>
    </row>
    <row r="174" spans="2:5" x14ac:dyDescent="0.3">
      <c r="D174">
        <f>D173-C178</f>
        <v>155</v>
      </c>
    </row>
    <row r="176" spans="2:5" x14ac:dyDescent="0.3">
      <c r="B176" t="s">
        <v>625</v>
      </c>
      <c r="C176">
        <f>D93+D99+D159+D171</f>
        <v>8</v>
      </c>
    </row>
    <row r="177" spans="2:3" x14ac:dyDescent="0.3">
      <c r="B177" t="s">
        <v>626</v>
      </c>
      <c r="C177">
        <f>D16+D22+D28+D46+D124+D142+D160</f>
        <v>10</v>
      </c>
    </row>
    <row r="178" spans="2:3" x14ac:dyDescent="0.3">
      <c r="C178">
        <f>SUM(C176:C177)</f>
        <v>18</v>
      </c>
    </row>
  </sheetData>
  <autoFilter ref="B2:B178"/>
  <mergeCells count="5">
    <mergeCell ref="B3:E3"/>
    <mergeCell ref="B4:B5"/>
    <mergeCell ref="C4:C5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86" fitToHeight="4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254"/>
  <sheetViews>
    <sheetView view="pageBreakPreview" zoomScale="90" zoomScaleNormal="70" zoomScaleSheetLayoutView="90" workbookViewId="0">
      <selection activeCell="D13" sqref="D13"/>
    </sheetView>
  </sheetViews>
  <sheetFormatPr baseColWidth="10" defaultColWidth="11.44140625" defaultRowHeight="14.4" x14ac:dyDescent="0.3"/>
  <cols>
    <col min="1" max="1" width="11.44140625" style="73"/>
    <col min="2" max="2" width="103.5546875" style="73" customWidth="1"/>
    <col min="3" max="3" width="11.44140625" style="73"/>
    <col min="4" max="8" width="11.44140625" style="73" customWidth="1"/>
    <col min="9" max="16384" width="11.44140625" style="73"/>
  </cols>
  <sheetData>
    <row r="1" spans="1:9" ht="15" x14ac:dyDescent="0.25">
      <c r="A1" s="601" t="s">
        <v>583</v>
      </c>
      <c r="B1" s="601"/>
      <c r="C1" s="601"/>
      <c r="D1" s="601"/>
      <c r="E1" s="601"/>
      <c r="F1" s="601"/>
      <c r="G1" s="601"/>
      <c r="H1" s="601"/>
      <c r="I1" s="601"/>
    </row>
    <row r="2" spans="1:9" ht="15" x14ac:dyDescent="0.25">
      <c r="A2" s="310" t="str">
        <f>'NOMBRE DEL PROYECTO'!A2</f>
        <v xml:space="preserve">PROYECTO: </v>
      </c>
      <c r="B2" s="310" t="str">
        <f>'NOMBRE DEL PROYECTO'!C2</f>
        <v xml:space="preserve">“CONSULTORÍA DE OBRA PARA LA ELABORACIÓN DEL ESTUDIO DEFINITIVO Y EXPEDIENTE TÉCNICO DE OBRA: CAMBIO DE COLECTOR EN URBANIZACIÓN GERMAN ASTETE – LA PERLA” </v>
      </c>
      <c r="C2" s="310"/>
      <c r="D2" s="310"/>
      <c r="E2" s="310"/>
      <c r="F2" s="310"/>
      <c r="G2" s="310"/>
      <c r="H2" s="310"/>
      <c r="I2" s="310"/>
    </row>
    <row r="3" spans="1:9" ht="15" x14ac:dyDescent="0.25">
      <c r="A3" s="310" t="str">
        <f>'NOMBRE DEL PROYECTO'!A4</f>
        <v>UBICACIÓN:</v>
      </c>
      <c r="B3" s="310" t="str">
        <f>'NOMBRE DEL PROYECTO'!C4</f>
        <v xml:space="preserve">URBANIZACIÓN GERMAN ASTETE – LA PERLA - CALLAO </v>
      </c>
      <c r="C3" s="310"/>
      <c r="D3" s="310"/>
      <c r="E3" s="310"/>
      <c r="F3" s="310"/>
      <c r="G3" s="310"/>
      <c r="H3" s="310"/>
      <c r="I3" s="310"/>
    </row>
    <row r="4" spans="1:9" ht="15.75" thickBot="1" x14ac:dyDescent="0.3">
      <c r="A4" s="310"/>
      <c r="B4" s="310"/>
      <c r="C4" s="310"/>
      <c r="D4" s="310"/>
      <c r="E4" s="310"/>
      <c r="F4" s="310"/>
      <c r="G4" s="310"/>
      <c r="H4" s="310"/>
      <c r="I4" s="310"/>
    </row>
    <row r="5" spans="1:9" ht="15.75" thickBot="1" x14ac:dyDescent="0.3">
      <c r="A5" s="600" t="s">
        <v>161</v>
      </c>
      <c r="B5" s="600"/>
      <c r="C5" s="600"/>
      <c r="D5" s="600"/>
      <c r="E5" s="600"/>
      <c r="F5" s="600"/>
      <c r="G5" s="600"/>
      <c r="H5" s="600"/>
      <c r="I5" s="600"/>
    </row>
    <row r="6" spans="1:9" ht="15" thickBot="1" x14ac:dyDescent="0.35">
      <c r="A6" s="309" t="s">
        <v>162</v>
      </c>
      <c r="B6" s="309" t="s">
        <v>163</v>
      </c>
      <c r="C6" s="309" t="s">
        <v>164</v>
      </c>
      <c r="D6" s="204" t="s">
        <v>165</v>
      </c>
      <c r="E6" s="204" t="s">
        <v>166</v>
      </c>
      <c r="F6" s="204" t="s">
        <v>167</v>
      </c>
      <c r="G6" s="204" t="s">
        <v>168</v>
      </c>
      <c r="H6" s="204" t="s">
        <v>169</v>
      </c>
      <c r="I6" s="204" t="s">
        <v>170</v>
      </c>
    </row>
    <row r="7" spans="1:9" ht="15" x14ac:dyDescent="0.25">
      <c r="A7" s="205">
        <v>1</v>
      </c>
      <c r="B7" s="206" t="s">
        <v>171</v>
      </c>
      <c r="C7" s="207"/>
      <c r="D7" s="208"/>
      <c r="E7" s="208"/>
      <c r="F7" s="208"/>
      <c r="G7" s="208"/>
      <c r="H7" s="208"/>
      <c r="I7" s="209"/>
    </row>
    <row r="8" spans="1:9" ht="15" x14ac:dyDescent="0.25">
      <c r="A8" s="210">
        <f>+A7+0.01</f>
        <v>1.01</v>
      </c>
      <c r="B8" s="211" t="s">
        <v>172</v>
      </c>
      <c r="C8" s="212"/>
      <c r="D8" s="213"/>
      <c r="E8" s="213"/>
      <c r="F8" s="213"/>
      <c r="G8" s="213"/>
      <c r="H8" s="213"/>
      <c r="I8" s="68"/>
    </row>
    <row r="9" spans="1:9" ht="15" x14ac:dyDescent="0.25">
      <c r="A9" s="69">
        <f>+A8+0.0001</f>
        <v>1.0101</v>
      </c>
      <c r="B9" s="70" t="s">
        <v>627</v>
      </c>
      <c r="C9" s="71" t="s">
        <v>173</v>
      </c>
      <c r="D9" s="72">
        <v>1</v>
      </c>
      <c r="E9" s="72"/>
      <c r="F9" s="72"/>
      <c r="G9" s="72"/>
      <c r="H9" s="72">
        <f>D9</f>
        <v>1</v>
      </c>
      <c r="I9" s="68">
        <f>H9</f>
        <v>1</v>
      </c>
    </row>
    <row r="10" spans="1:9" x14ac:dyDescent="0.3">
      <c r="A10" s="69">
        <f t="shared" ref="A10:A16" si="0">+A9+0.0001</f>
        <v>1.0102</v>
      </c>
      <c r="B10" s="70" t="s">
        <v>174</v>
      </c>
      <c r="C10" s="71" t="s">
        <v>173</v>
      </c>
      <c r="D10" s="72">
        <v>1</v>
      </c>
      <c r="E10" s="72"/>
      <c r="F10" s="72"/>
      <c r="G10" s="72"/>
      <c r="H10" s="72">
        <f>D10</f>
        <v>1</v>
      </c>
      <c r="I10" s="68">
        <f>H10</f>
        <v>1</v>
      </c>
    </row>
    <row r="11" spans="1:9" x14ac:dyDescent="0.3">
      <c r="A11" s="69">
        <f t="shared" si="0"/>
        <v>1.0103</v>
      </c>
      <c r="B11" s="70" t="s">
        <v>175</v>
      </c>
      <c r="C11" s="71" t="s">
        <v>173</v>
      </c>
      <c r="D11" s="72">
        <v>1</v>
      </c>
      <c r="E11" s="72"/>
      <c r="F11" s="72"/>
      <c r="G11" s="72"/>
      <c r="H11" s="72">
        <f>D11</f>
        <v>1</v>
      </c>
      <c r="I11" s="68">
        <f>H11</f>
        <v>1</v>
      </c>
    </row>
    <row r="12" spans="1:9" ht="15" x14ac:dyDescent="0.25">
      <c r="A12" s="69">
        <f t="shared" si="0"/>
        <v>1.0104</v>
      </c>
      <c r="B12" s="70" t="s">
        <v>176</v>
      </c>
      <c r="C12" s="71" t="s">
        <v>177</v>
      </c>
      <c r="D12" s="72">
        <v>3</v>
      </c>
      <c r="E12" s="72"/>
      <c r="F12" s="72"/>
      <c r="G12" s="72"/>
      <c r="H12" s="72">
        <f t="shared" ref="H12:H13" si="1">D12</f>
        <v>3</v>
      </c>
      <c r="I12" s="68">
        <f t="shared" ref="I12:I13" si="2">H12</f>
        <v>3</v>
      </c>
    </row>
    <row r="13" spans="1:9" x14ac:dyDescent="0.3">
      <c r="A13" s="69">
        <f t="shared" si="0"/>
        <v>1.0105</v>
      </c>
      <c r="B13" s="214" t="s">
        <v>178</v>
      </c>
      <c r="C13" s="71" t="s">
        <v>177</v>
      </c>
      <c r="D13" s="72">
        <v>3</v>
      </c>
      <c r="E13" s="72"/>
      <c r="F13" s="72"/>
      <c r="G13" s="72"/>
      <c r="H13" s="72">
        <f t="shared" si="1"/>
        <v>3</v>
      </c>
      <c r="I13" s="68">
        <f t="shared" si="2"/>
        <v>3</v>
      </c>
    </row>
    <row r="14" spans="1:9" ht="15" x14ac:dyDescent="0.25">
      <c r="A14" s="69">
        <f t="shared" si="0"/>
        <v>1.0105999999999999</v>
      </c>
      <c r="B14" s="70" t="s">
        <v>179</v>
      </c>
      <c r="C14" s="71" t="s">
        <v>180</v>
      </c>
      <c r="D14" s="72">
        <v>1</v>
      </c>
      <c r="E14" s="72"/>
      <c r="F14" s="72"/>
      <c r="G14" s="72"/>
      <c r="H14" s="72">
        <f t="shared" ref="H14:H27" si="3">ROUND(PRODUCT(D14:G14),2)</f>
        <v>1</v>
      </c>
      <c r="I14" s="68">
        <f t="shared" ref="I14:I16" si="4">+H14</f>
        <v>1</v>
      </c>
    </row>
    <row r="15" spans="1:9" x14ac:dyDescent="0.3">
      <c r="A15" s="69">
        <f t="shared" si="0"/>
        <v>1.0106999999999999</v>
      </c>
      <c r="B15" s="214" t="s">
        <v>181</v>
      </c>
      <c r="C15" s="71" t="s">
        <v>182</v>
      </c>
      <c r="D15" s="72">
        <v>1</v>
      </c>
      <c r="E15" s="72">
        <f>'METRADO DE ZANJA Y TUBERIA'!E116</f>
        <v>3568.71</v>
      </c>
      <c r="F15" s="72"/>
      <c r="G15" s="72"/>
      <c r="H15" s="72">
        <f t="shared" si="3"/>
        <v>3568.71</v>
      </c>
      <c r="I15" s="68">
        <f t="shared" si="4"/>
        <v>3568.71</v>
      </c>
    </row>
    <row r="16" spans="1:9" ht="15" x14ac:dyDescent="0.25">
      <c r="A16" s="69">
        <f t="shared" si="0"/>
        <v>1.0107999999999999</v>
      </c>
      <c r="B16" s="214" t="s">
        <v>691</v>
      </c>
      <c r="C16" s="71" t="s">
        <v>180</v>
      </c>
      <c r="D16" s="72">
        <v>1</v>
      </c>
      <c r="E16" s="72"/>
      <c r="F16" s="72"/>
      <c r="G16" s="72"/>
      <c r="H16" s="72">
        <f t="shared" si="3"/>
        <v>1</v>
      </c>
      <c r="I16" s="68">
        <f t="shared" si="4"/>
        <v>1</v>
      </c>
    </row>
    <row r="17" spans="1:9" ht="15" x14ac:dyDescent="0.25">
      <c r="A17" s="69"/>
      <c r="B17" s="214" t="s">
        <v>598</v>
      </c>
      <c r="C17" s="71" t="s">
        <v>688</v>
      </c>
      <c r="D17" s="72">
        <v>80</v>
      </c>
      <c r="E17" s="72"/>
      <c r="F17" s="72"/>
      <c r="G17" s="72"/>
      <c r="H17" s="72">
        <f t="shared" si="3"/>
        <v>80</v>
      </c>
      <c r="I17" s="68"/>
    </row>
    <row r="18" spans="1:9" ht="15" x14ac:dyDescent="0.25">
      <c r="A18" s="69"/>
      <c r="B18" s="214" t="s">
        <v>599</v>
      </c>
      <c r="C18" s="71" t="s">
        <v>688</v>
      </c>
      <c r="D18" s="72">
        <v>80</v>
      </c>
      <c r="E18" s="72"/>
      <c r="F18" s="72"/>
      <c r="G18" s="72"/>
      <c r="H18" s="72">
        <f t="shared" si="3"/>
        <v>80</v>
      </c>
      <c r="I18" s="68"/>
    </row>
    <row r="19" spans="1:9" ht="15" x14ac:dyDescent="0.25">
      <c r="A19" s="69"/>
      <c r="B19" s="214" t="s">
        <v>600</v>
      </c>
      <c r="C19" s="71" t="s">
        <v>688</v>
      </c>
      <c r="D19" s="72">
        <v>80</v>
      </c>
      <c r="E19" s="72"/>
      <c r="F19" s="72"/>
      <c r="G19" s="72"/>
      <c r="H19" s="72">
        <f t="shared" si="3"/>
        <v>80</v>
      </c>
      <c r="I19" s="68"/>
    </row>
    <row r="20" spans="1:9" ht="15" x14ac:dyDescent="0.25">
      <c r="A20" s="69"/>
      <c r="B20" s="214" t="s">
        <v>597</v>
      </c>
      <c r="C20" s="71" t="s">
        <v>688</v>
      </c>
      <c r="D20" s="72">
        <v>80</v>
      </c>
      <c r="E20" s="72"/>
      <c r="F20" s="72"/>
      <c r="G20" s="72"/>
      <c r="H20" s="72">
        <f t="shared" si="3"/>
        <v>80</v>
      </c>
      <c r="I20" s="68"/>
    </row>
    <row r="21" spans="1:9" ht="15" x14ac:dyDescent="0.25">
      <c r="A21" s="69"/>
      <c r="B21" s="214" t="s">
        <v>601</v>
      </c>
      <c r="C21" s="71" t="s">
        <v>688</v>
      </c>
      <c r="D21" s="72">
        <v>80</v>
      </c>
      <c r="E21" s="72"/>
      <c r="F21" s="72"/>
      <c r="G21" s="72"/>
      <c r="H21" s="72">
        <f t="shared" si="3"/>
        <v>80</v>
      </c>
      <c r="I21" s="68"/>
    </row>
    <row r="22" spans="1:9" ht="15" x14ac:dyDescent="0.25">
      <c r="A22" s="69"/>
      <c r="B22" s="214" t="s">
        <v>682</v>
      </c>
      <c r="C22" s="71" t="s">
        <v>688</v>
      </c>
      <c r="D22" s="72">
        <v>81</v>
      </c>
      <c r="E22" s="72"/>
      <c r="F22" s="72"/>
      <c r="G22" s="72"/>
      <c r="H22" s="72">
        <v>80</v>
      </c>
      <c r="I22" s="68"/>
    </row>
    <row r="23" spans="1:9" x14ac:dyDescent="0.3">
      <c r="A23" s="69"/>
      <c r="B23" s="214" t="s">
        <v>683</v>
      </c>
      <c r="C23" s="71" t="s">
        <v>688</v>
      </c>
      <c r="D23" s="72">
        <v>82</v>
      </c>
      <c r="E23" s="72"/>
      <c r="F23" s="72"/>
      <c r="G23" s="72"/>
      <c r="H23" s="72">
        <v>80</v>
      </c>
      <c r="I23" s="68"/>
    </row>
    <row r="24" spans="1:9" ht="15" x14ac:dyDescent="0.25">
      <c r="A24" s="69"/>
      <c r="B24" s="214" t="s">
        <v>684</v>
      </c>
      <c r="C24" s="71" t="s">
        <v>688</v>
      </c>
      <c r="D24" s="72">
        <v>83</v>
      </c>
      <c r="E24" s="72"/>
      <c r="F24" s="72"/>
      <c r="G24" s="72"/>
      <c r="H24" s="72">
        <v>80</v>
      </c>
      <c r="I24" s="68"/>
    </row>
    <row r="25" spans="1:9" x14ac:dyDescent="0.3">
      <c r="A25" s="69"/>
      <c r="B25" s="214" t="s">
        <v>685</v>
      </c>
      <c r="C25" s="71" t="s">
        <v>688</v>
      </c>
      <c r="D25" s="72">
        <v>84</v>
      </c>
      <c r="E25" s="72"/>
      <c r="F25" s="72"/>
      <c r="G25" s="72"/>
      <c r="H25" s="72">
        <v>80</v>
      </c>
      <c r="I25" s="68"/>
    </row>
    <row r="26" spans="1:9" x14ac:dyDescent="0.3">
      <c r="A26" s="69"/>
      <c r="B26" s="214" t="s">
        <v>686</v>
      </c>
      <c r="C26" s="71" t="s">
        <v>688</v>
      </c>
      <c r="D26" s="72">
        <v>85</v>
      </c>
      <c r="E26" s="72"/>
      <c r="F26" s="72"/>
      <c r="G26" s="72"/>
      <c r="H26" s="72">
        <v>80</v>
      </c>
      <c r="I26" s="68"/>
    </row>
    <row r="27" spans="1:9" x14ac:dyDescent="0.3">
      <c r="A27" s="69">
        <f>+A16+0.0001</f>
        <v>1.0108999999999999</v>
      </c>
      <c r="B27" s="214" t="s">
        <v>645</v>
      </c>
      <c r="C27" s="71" t="s">
        <v>180</v>
      </c>
      <c r="D27" s="72">
        <v>1</v>
      </c>
      <c r="E27" s="72"/>
      <c r="F27" s="72"/>
      <c r="G27" s="72"/>
      <c r="H27" s="72">
        <f t="shared" si="3"/>
        <v>1</v>
      </c>
      <c r="I27" s="68">
        <f t="shared" ref="I27" si="5">+H27</f>
        <v>1</v>
      </c>
    </row>
    <row r="28" spans="1:9" ht="15" x14ac:dyDescent="0.25">
      <c r="A28" s="215"/>
      <c r="B28" s="70"/>
      <c r="C28" s="71"/>
      <c r="D28" s="72"/>
      <c r="E28" s="72"/>
      <c r="F28" s="72"/>
      <c r="G28" s="72"/>
      <c r="H28" s="72"/>
      <c r="I28" s="68"/>
    </row>
    <row r="29" spans="1:9" ht="15" x14ac:dyDescent="0.25">
      <c r="A29" s="210">
        <f>+A8+0.01</f>
        <v>1.02</v>
      </c>
      <c r="B29" s="211" t="s">
        <v>183</v>
      </c>
      <c r="C29" s="71"/>
      <c r="D29" s="72"/>
      <c r="E29" s="72"/>
      <c r="F29" s="72"/>
      <c r="G29" s="72"/>
      <c r="H29" s="72"/>
      <c r="I29" s="68"/>
    </row>
    <row r="30" spans="1:9" ht="15" x14ac:dyDescent="0.25">
      <c r="A30" s="69">
        <f>+A29+0.0001</f>
        <v>1.0201</v>
      </c>
      <c r="B30" s="70" t="s">
        <v>184</v>
      </c>
      <c r="C30" s="71" t="s">
        <v>180</v>
      </c>
      <c r="D30" s="72">
        <v>1</v>
      </c>
      <c r="E30" s="72"/>
      <c r="F30" s="72"/>
      <c r="G30" s="72"/>
      <c r="H30" s="72">
        <f t="shared" ref="H30" si="6">ROUND(PRODUCT(D30:G30),2)</f>
        <v>1</v>
      </c>
      <c r="I30" s="68">
        <f t="shared" ref="I30" si="7">+H30</f>
        <v>1</v>
      </c>
    </row>
    <row r="31" spans="1:9" ht="15" x14ac:dyDescent="0.25">
      <c r="A31" s="69"/>
      <c r="B31" s="216" t="s">
        <v>185</v>
      </c>
      <c r="C31" s="71"/>
      <c r="D31" s="72"/>
      <c r="E31" s="72"/>
      <c r="F31" s="72"/>
      <c r="G31" s="72"/>
      <c r="H31" s="72"/>
      <c r="I31" s="68"/>
    </row>
    <row r="32" spans="1:9" ht="15" x14ac:dyDescent="0.25">
      <c r="A32" s="69"/>
      <c r="B32" s="217" t="s">
        <v>636</v>
      </c>
      <c r="C32" s="71" t="s">
        <v>180</v>
      </c>
      <c r="D32" s="72">
        <v>1</v>
      </c>
      <c r="E32" s="72"/>
      <c r="F32" s="72"/>
      <c r="G32" s="72"/>
      <c r="H32" s="72">
        <f t="shared" ref="H32:H40" si="8">ROUND(PRODUCT(D32:G32),2)</f>
        <v>1</v>
      </c>
      <c r="I32" s="68"/>
    </row>
    <row r="33" spans="1:9" x14ac:dyDescent="0.3">
      <c r="A33" s="69"/>
      <c r="B33" s="217" t="s">
        <v>637</v>
      </c>
      <c r="C33" s="71" t="s">
        <v>180</v>
      </c>
      <c r="D33" s="72">
        <v>1</v>
      </c>
      <c r="E33" s="72"/>
      <c r="F33" s="72"/>
      <c r="G33" s="72"/>
      <c r="H33" s="72">
        <f t="shared" si="8"/>
        <v>1</v>
      </c>
      <c r="I33" s="68"/>
    </row>
    <row r="34" spans="1:9" x14ac:dyDescent="0.3">
      <c r="A34" s="69"/>
      <c r="B34" s="217" t="s">
        <v>638</v>
      </c>
      <c r="C34" s="71" t="s">
        <v>180</v>
      </c>
      <c r="D34" s="72">
        <v>1</v>
      </c>
      <c r="E34" s="72"/>
      <c r="F34" s="72"/>
      <c r="G34" s="72"/>
      <c r="H34" s="72">
        <f t="shared" si="8"/>
        <v>1</v>
      </c>
      <c r="I34" s="68"/>
    </row>
    <row r="35" spans="1:9" x14ac:dyDescent="0.3">
      <c r="A35" s="69"/>
      <c r="B35" s="217" t="s">
        <v>639</v>
      </c>
      <c r="C35" s="71" t="s">
        <v>180</v>
      </c>
      <c r="D35" s="72">
        <v>1</v>
      </c>
      <c r="E35" s="72"/>
      <c r="F35" s="72"/>
      <c r="G35" s="72"/>
      <c r="H35" s="72">
        <f t="shared" si="8"/>
        <v>1</v>
      </c>
      <c r="I35" s="68"/>
    </row>
    <row r="36" spans="1:9" x14ac:dyDescent="0.3">
      <c r="A36" s="69"/>
      <c r="B36" s="217" t="s">
        <v>640</v>
      </c>
      <c r="C36" s="71" t="s">
        <v>180</v>
      </c>
      <c r="D36" s="72">
        <v>1</v>
      </c>
      <c r="E36" s="72"/>
      <c r="F36" s="72"/>
      <c r="G36" s="72"/>
      <c r="H36" s="72">
        <f t="shared" si="8"/>
        <v>1</v>
      </c>
      <c r="I36" s="68"/>
    </row>
    <row r="37" spans="1:9" x14ac:dyDescent="0.3">
      <c r="A37" s="69"/>
      <c r="B37" s="217" t="s">
        <v>641</v>
      </c>
      <c r="C37" s="71" t="s">
        <v>180</v>
      </c>
      <c r="D37" s="72">
        <v>1</v>
      </c>
      <c r="E37" s="72"/>
      <c r="F37" s="72"/>
      <c r="G37" s="72"/>
      <c r="H37" s="72">
        <f t="shared" si="8"/>
        <v>1</v>
      </c>
      <c r="I37" s="68"/>
    </row>
    <row r="38" spans="1:9" x14ac:dyDescent="0.3">
      <c r="A38" s="69"/>
      <c r="B38" s="217" t="s">
        <v>642</v>
      </c>
      <c r="C38" s="71" t="s">
        <v>180</v>
      </c>
      <c r="D38" s="72">
        <v>1</v>
      </c>
      <c r="E38" s="72"/>
      <c r="F38" s="72"/>
      <c r="G38" s="72"/>
      <c r="H38" s="72">
        <f t="shared" si="8"/>
        <v>1</v>
      </c>
      <c r="I38" s="68"/>
    </row>
    <row r="39" spans="1:9" x14ac:dyDescent="0.3">
      <c r="A39" s="69"/>
      <c r="B39" s="217" t="s">
        <v>643</v>
      </c>
      <c r="C39" s="71" t="s">
        <v>180</v>
      </c>
      <c r="D39" s="72">
        <v>1</v>
      </c>
      <c r="E39" s="72"/>
      <c r="F39" s="72"/>
      <c r="G39" s="72"/>
      <c r="H39" s="72">
        <f t="shared" si="8"/>
        <v>1</v>
      </c>
      <c r="I39" s="68"/>
    </row>
    <row r="40" spans="1:9" x14ac:dyDescent="0.3">
      <c r="A40" s="69"/>
      <c r="B40" s="217" t="s">
        <v>644</v>
      </c>
      <c r="C40" s="71" t="s">
        <v>180</v>
      </c>
      <c r="D40" s="72">
        <v>1</v>
      </c>
      <c r="E40" s="72"/>
      <c r="F40" s="72"/>
      <c r="G40" s="72"/>
      <c r="H40" s="72">
        <f t="shared" si="8"/>
        <v>1</v>
      </c>
      <c r="I40" s="68"/>
    </row>
    <row r="41" spans="1:9" x14ac:dyDescent="0.3">
      <c r="A41" s="215"/>
      <c r="B41" s="70"/>
      <c r="C41" s="71"/>
      <c r="D41" s="72"/>
      <c r="E41" s="72"/>
      <c r="F41" s="72"/>
      <c r="G41" s="72"/>
      <c r="H41" s="72"/>
      <c r="I41" s="68"/>
    </row>
    <row r="42" spans="1:9" x14ac:dyDescent="0.3">
      <c r="A42" s="210">
        <f>+A29+0.01</f>
        <v>1.03</v>
      </c>
      <c r="B42" s="211" t="s">
        <v>187</v>
      </c>
      <c r="C42" s="212"/>
      <c r="D42" s="213"/>
      <c r="E42" s="213"/>
      <c r="F42" s="213"/>
      <c r="G42" s="213"/>
      <c r="H42" s="213"/>
      <c r="I42" s="68"/>
    </row>
    <row r="43" spans="1:9" x14ac:dyDescent="0.3">
      <c r="A43" s="69">
        <f>+A42+0.0001</f>
        <v>1.0301</v>
      </c>
      <c r="B43" s="70" t="s">
        <v>646</v>
      </c>
      <c r="C43" s="71" t="s">
        <v>188</v>
      </c>
      <c r="D43" s="72">
        <v>1</v>
      </c>
      <c r="E43" s="72">
        <f>+E15/1000</f>
        <v>3.5687099999999998</v>
      </c>
      <c r="F43" s="72"/>
      <c r="G43" s="72"/>
      <c r="H43" s="72">
        <f>D43*E43</f>
        <v>3.5687099999999998</v>
      </c>
      <c r="I43" s="68">
        <f>H43</f>
        <v>3.5687099999999998</v>
      </c>
    </row>
    <row r="44" spans="1:9" x14ac:dyDescent="0.3">
      <c r="A44" s="69">
        <f t="shared" ref="A44:A46" si="9">+A43+0.0001</f>
        <v>1.0302</v>
      </c>
      <c r="B44" s="70" t="s">
        <v>189</v>
      </c>
      <c r="C44" s="71" t="s">
        <v>188</v>
      </c>
      <c r="D44" s="72">
        <v>1</v>
      </c>
      <c r="E44" s="72">
        <f>+E43</f>
        <v>3.5687099999999998</v>
      </c>
      <c r="F44" s="72"/>
      <c r="G44" s="72"/>
      <c r="H44" s="72">
        <f>D44*E44</f>
        <v>3.5687099999999998</v>
      </c>
      <c r="I44" s="68">
        <f>H44</f>
        <v>3.5687099999999998</v>
      </c>
    </row>
    <row r="45" spans="1:9" x14ac:dyDescent="0.3">
      <c r="A45" s="69">
        <f t="shared" si="9"/>
        <v>1.0303</v>
      </c>
      <c r="B45" s="214" t="s">
        <v>190</v>
      </c>
      <c r="C45" s="71" t="s">
        <v>182</v>
      </c>
      <c r="D45" s="72">
        <v>1</v>
      </c>
      <c r="E45" s="72">
        <f>'METRADO DE ZANJA Y TUBERIA'!E117</f>
        <v>3677.3999999999996</v>
      </c>
      <c r="F45" s="72"/>
      <c r="G45" s="72"/>
      <c r="H45" s="72">
        <f>E45*D45</f>
        <v>3677.3999999999996</v>
      </c>
      <c r="I45" s="68">
        <f>H45</f>
        <v>3677.3999999999996</v>
      </c>
    </row>
    <row r="46" spans="1:9" x14ac:dyDescent="0.3">
      <c r="A46" s="69">
        <f t="shared" si="9"/>
        <v>1.0304</v>
      </c>
      <c r="B46" s="214" t="s">
        <v>628</v>
      </c>
      <c r="C46" s="71" t="s">
        <v>182</v>
      </c>
      <c r="D46" s="72">
        <v>1</v>
      </c>
      <c r="E46" s="72">
        <f>'METRADO DE ZANJA Y TUBERIA'!E118</f>
        <v>141.03</v>
      </c>
      <c r="F46" s="72"/>
      <c r="G46" s="72"/>
      <c r="H46" s="72">
        <f>E46*D46</f>
        <v>141.03</v>
      </c>
      <c r="I46" s="68">
        <f>H46</f>
        <v>141.03</v>
      </c>
    </row>
    <row r="47" spans="1:9" x14ac:dyDescent="0.3">
      <c r="A47" s="215"/>
      <c r="B47" s="217"/>
      <c r="C47" s="71"/>
      <c r="D47" s="72"/>
      <c r="E47" s="72"/>
      <c r="F47" s="72"/>
      <c r="G47" s="72"/>
      <c r="H47" s="72"/>
      <c r="I47" s="68"/>
    </row>
    <row r="48" spans="1:9" x14ac:dyDescent="0.3">
      <c r="A48" s="210">
        <f>+A42+0.01</f>
        <v>1.04</v>
      </c>
      <c r="B48" s="211" t="s">
        <v>191</v>
      </c>
      <c r="C48" s="212"/>
      <c r="D48" s="213"/>
      <c r="E48" s="213"/>
      <c r="F48" s="213"/>
      <c r="G48" s="213"/>
      <c r="H48" s="213"/>
      <c r="I48" s="68"/>
    </row>
    <row r="49" spans="1:10" x14ac:dyDescent="0.3">
      <c r="A49" s="222">
        <f>+A48+0.0001</f>
        <v>1.0401</v>
      </c>
      <c r="B49" s="223" t="s">
        <v>192</v>
      </c>
      <c r="C49" s="71"/>
      <c r="D49" s="72"/>
      <c r="E49" s="72"/>
      <c r="F49" s="72"/>
      <c r="G49" s="72"/>
      <c r="H49" s="72"/>
      <c r="I49" s="68"/>
    </row>
    <row r="50" spans="1:10" x14ac:dyDescent="0.3">
      <c r="A50" s="167">
        <f>+A49+0.000001</f>
        <v>1.0401009999999999</v>
      </c>
      <c r="B50" s="224" t="s">
        <v>647</v>
      </c>
      <c r="C50" s="71" t="s">
        <v>193</v>
      </c>
      <c r="D50" s="72">
        <v>1</v>
      </c>
      <c r="E50" s="72">
        <f>'METRADO DE ZANJA Y TUBERIA'!C122</f>
        <v>1819.6100000000004</v>
      </c>
      <c r="F50" s="72">
        <v>1.2</v>
      </c>
      <c r="G50" s="72"/>
      <c r="H50" s="72">
        <f>ROUND(PRODUCT(D50:G50),2)</f>
        <v>2183.5300000000002</v>
      </c>
      <c r="I50" s="68">
        <f>+H50</f>
        <v>2183.5300000000002</v>
      </c>
    </row>
    <row r="51" spans="1:10" x14ac:dyDescent="0.3">
      <c r="A51" s="167">
        <f t="shared" ref="A51:A53" si="10">+A50+0.000001</f>
        <v>1.0401019999999999</v>
      </c>
      <c r="B51" s="225" t="s">
        <v>194</v>
      </c>
      <c r="C51" s="71" t="s">
        <v>193</v>
      </c>
      <c r="D51" s="72">
        <v>1</v>
      </c>
      <c r="E51" s="72">
        <f>'METRADO DE ZANJA Y TUBERIA'!C124</f>
        <v>1773.1999999999998</v>
      </c>
      <c r="F51" s="72">
        <v>1.2</v>
      </c>
      <c r="G51" s="72"/>
      <c r="H51" s="72">
        <f t="shared" ref="H51:H53" si="11">ROUND(PRODUCT(D51:G51),2)</f>
        <v>2127.84</v>
      </c>
      <c r="I51" s="68">
        <f t="shared" ref="I51:I53" si="12">+H51</f>
        <v>2127.84</v>
      </c>
    </row>
    <row r="52" spans="1:10" x14ac:dyDescent="0.3">
      <c r="A52" s="167">
        <f t="shared" si="10"/>
        <v>1.0401029999999998</v>
      </c>
      <c r="B52" s="224" t="s">
        <v>648</v>
      </c>
      <c r="C52" s="71" t="s">
        <v>197</v>
      </c>
      <c r="D52" s="72">
        <f>'METRADO DE BUZONES'!L110</f>
        <v>96</v>
      </c>
      <c r="E52" s="72">
        <v>2.2000000000000002</v>
      </c>
      <c r="F52" s="72">
        <v>1.2</v>
      </c>
      <c r="G52" s="72"/>
      <c r="H52" s="72">
        <f t="shared" ref="H52" si="13">ROUND(PRODUCT(D52:G52),2)</f>
        <v>253.44</v>
      </c>
      <c r="I52" s="68">
        <f t="shared" ref="I52" si="14">+H52</f>
        <v>253.44</v>
      </c>
    </row>
    <row r="53" spans="1:10" x14ac:dyDescent="0.3">
      <c r="A53" s="167">
        <f t="shared" si="10"/>
        <v>1.0401039999999997</v>
      </c>
      <c r="B53" s="224" t="s">
        <v>195</v>
      </c>
      <c r="C53" s="71" t="s">
        <v>193</v>
      </c>
      <c r="D53" s="72">
        <v>1</v>
      </c>
      <c r="E53" s="72">
        <f>'METRADO DE ZANJA Y TUBERIA'!C126</f>
        <v>239.68</v>
      </c>
      <c r="F53" s="72">
        <v>1.2</v>
      </c>
      <c r="G53" s="72"/>
      <c r="H53" s="72">
        <f t="shared" si="11"/>
        <v>287.62</v>
      </c>
      <c r="I53" s="68">
        <f t="shared" si="12"/>
        <v>287.62</v>
      </c>
    </row>
    <row r="54" spans="1:10" x14ac:dyDescent="0.3">
      <c r="A54" s="215"/>
      <c r="B54" s="217"/>
      <c r="C54" s="71"/>
      <c r="D54" s="72"/>
      <c r="E54" s="72"/>
      <c r="F54" s="72"/>
      <c r="G54" s="72"/>
      <c r="H54" s="72"/>
      <c r="I54" s="68"/>
    </row>
    <row r="55" spans="1:10" x14ac:dyDescent="0.3">
      <c r="A55" s="222">
        <f>+A49+0.0001</f>
        <v>1.0402</v>
      </c>
      <c r="B55" s="223" t="s">
        <v>196</v>
      </c>
      <c r="C55" s="212"/>
      <c r="D55" s="213"/>
      <c r="E55" s="213"/>
      <c r="F55" s="213"/>
      <c r="G55" s="213"/>
      <c r="H55" s="213"/>
      <c r="I55" s="68"/>
    </row>
    <row r="56" spans="1:10" x14ac:dyDescent="0.3">
      <c r="A56" s="167">
        <f>+A55+0.000001</f>
        <v>1.0402009999999999</v>
      </c>
      <c r="B56" s="225" t="s">
        <v>649</v>
      </c>
      <c r="C56" s="71" t="s">
        <v>173</v>
      </c>
      <c r="D56" s="72">
        <f>'METRADO DE BUZONES'!G114</f>
        <v>14</v>
      </c>
      <c r="E56" s="72"/>
      <c r="F56" s="72"/>
      <c r="G56" s="72"/>
      <c r="H56" s="72">
        <f t="shared" ref="H56:H71" si="15">D56</f>
        <v>14</v>
      </c>
      <c r="I56" s="68">
        <f t="shared" ref="I56:I71" si="16">H56</f>
        <v>14</v>
      </c>
    </row>
    <row r="57" spans="1:10" x14ac:dyDescent="0.3">
      <c r="A57" s="167">
        <f t="shared" ref="A57:A71" si="17">+A56+0.000001</f>
        <v>1.0402019999999998</v>
      </c>
      <c r="B57" s="225" t="s">
        <v>650</v>
      </c>
      <c r="C57" s="71" t="s">
        <v>173</v>
      </c>
      <c r="D57" s="72">
        <f>'METRADO DE BUZONES'!G115</f>
        <v>13</v>
      </c>
      <c r="E57" s="72"/>
      <c r="F57" s="72"/>
      <c r="G57" s="72"/>
      <c r="H57" s="72">
        <f t="shared" si="15"/>
        <v>13</v>
      </c>
      <c r="I57" s="68">
        <f t="shared" si="16"/>
        <v>13</v>
      </c>
    </row>
    <row r="58" spans="1:10" x14ac:dyDescent="0.3">
      <c r="A58" s="167">
        <f t="shared" si="17"/>
        <v>1.0402029999999998</v>
      </c>
      <c r="B58" s="225" t="s">
        <v>651</v>
      </c>
      <c r="C58" s="71" t="s">
        <v>173</v>
      </c>
      <c r="D58" s="72">
        <f>'METRADO DE BUZONES'!G116</f>
        <v>15</v>
      </c>
      <c r="E58" s="72"/>
      <c r="F58" s="72"/>
      <c r="G58" s="72"/>
      <c r="H58" s="72">
        <f t="shared" si="15"/>
        <v>15</v>
      </c>
      <c r="I58" s="68">
        <f t="shared" si="16"/>
        <v>15</v>
      </c>
    </row>
    <row r="59" spans="1:10" x14ac:dyDescent="0.3">
      <c r="A59" s="167">
        <f t="shared" si="17"/>
        <v>1.0402039999999997</v>
      </c>
      <c r="B59" s="225" t="s">
        <v>652</v>
      </c>
      <c r="C59" s="71" t="s">
        <v>173</v>
      </c>
      <c r="D59" s="72">
        <f>'METRADO DE BUZONES'!G117</f>
        <v>17</v>
      </c>
      <c r="E59" s="72"/>
      <c r="F59" s="72"/>
      <c r="G59" s="72"/>
      <c r="H59" s="72">
        <f t="shared" si="15"/>
        <v>17</v>
      </c>
      <c r="I59" s="68">
        <f t="shared" si="16"/>
        <v>17</v>
      </c>
    </row>
    <row r="60" spans="1:10" x14ac:dyDescent="0.3">
      <c r="A60" s="167">
        <f t="shared" si="17"/>
        <v>1.0402049999999996</v>
      </c>
      <c r="B60" s="225" t="s">
        <v>653</v>
      </c>
      <c r="C60" s="71" t="s">
        <v>173</v>
      </c>
      <c r="D60" s="72">
        <f>'METRADO DE BUZONES'!G118</f>
        <v>14</v>
      </c>
      <c r="E60" s="72"/>
      <c r="F60" s="72"/>
      <c r="G60" s="72"/>
      <c r="H60" s="72">
        <f t="shared" si="15"/>
        <v>14</v>
      </c>
      <c r="I60" s="68">
        <f t="shared" si="16"/>
        <v>14</v>
      </c>
      <c r="J60" s="226"/>
    </row>
    <row r="61" spans="1:10" x14ac:dyDescent="0.3">
      <c r="A61" s="167">
        <f t="shared" si="17"/>
        <v>1.0402059999999995</v>
      </c>
      <c r="B61" s="225" t="s">
        <v>654</v>
      </c>
      <c r="C61" s="71" t="s">
        <v>173</v>
      </c>
      <c r="D61" s="72">
        <f>'METRADO DE BUZONES'!G119</f>
        <v>4</v>
      </c>
      <c r="E61" s="72"/>
      <c r="F61" s="72"/>
      <c r="G61" s="72"/>
      <c r="H61" s="72">
        <f t="shared" si="15"/>
        <v>4</v>
      </c>
      <c r="I61" s="68">
        <f t="shared" si="16"/>
        <v>4</v>
      </c>
    </row>
    <row r="62" spans="1:10" x14ac:dyDescent="0.3">
      <c r="A62" s="167">
        <f t="shared" si="17"/>
        <v>1.0402069999999994</v>
      </c>
      <c r="B62" s="225" t="s">
        <v>321</v>
      </c>
      <c r="C62" s="71" t="s">
        <v>197</v>
      </c>
      <c r="D62" s="72"/>
      <c r="E62" s="72"/>
      <c r="F62" s="72"/>
      <c r="G62" s="72"/>
      <c r="H62" s="72"/>
      <c r="I62" s="68">
        <f>SUM(H63:H65)</f>
        <v>10.913892878570943</v>
      </c>
    </row>
    <row r="63" spans="1:10" x14ac:dyDescent="0.3">
      <c r="A63" s="167"/>
      <c r="B63" s="227" t="s">
        <v>198</v>
      </c>
      <c r="C63" s="71"/>
      <c r="D63" s="72">
        <f>'METRADO DE BUZONES'!H114</f>
        <v>6</v>
      </c>
      <c r="E63" s="72"/>
      <c r="F63" s="311" t="s">
        <v>199</v>
      </c>
      <c r="G63" s="72">
        <v>1.25</v>
      </c>
      <c r="H63" s="72">
        <f>PI()*0.6*0.6*(G63-0.2)*D63</f>
        <v>7.1251321383416517</v>
      </c>
      <c r="I63" s="68"/>
    </row>
    <row r="64" spans="1:10" x14ac:dyDescent="0.3">
      <c r="A64" s="167"/>
      <c r="B64" s="227" t="s">
        <v>200</v>
      </c>
      <c r="C64" s="71"/>
      <c r="D64" s="72">
        <f>'METRADO DE BUZONES'!H116</f>
        <v>1</v>
      </c>
      <c r="E64" s="72"/>
      <c r="F64" s="311" t="s">
        <v>199</v>
      </c>
      <c r="G64" s="72">
        <v>1.75</v>
      </c>
      <c r="H64" s="72">
        <f t="shared" ref="H64:H65" si="18">PI()*0.6*0.6*(G64-0.2)*D64</f>
        <v>1.7530087007031048</v>
      </c>
      <c r="I64" s="68"/>
    </row>
    <row r="65" spans="1:9" x14ac:dyDescent="0.3">
      <c r="A65" s="167"/>
      <c r="B65" s="227" t="s">
        <v>201</v>
      </c>
      <c r="C65" s="71"/>
      <c r="D65" s="72">
        <f>'METRADO DE BUZONES'!H117</f>
        <v>1</v>
      </c>
      <c r="E65" s="72"/>
      <c r="F65" s="311" t="s">
        <v>199</v>
      </c>
      <c r="G65" s="72">
        <v>2</v>
      </c>
      <c r="H65" s="72">
        <f t="shared" si="18"/>
        <v>2.0357520395261859</v>
      </c>
      <c r="I65" s="68"/>
    </row>
    <row r="66" spans="1:9" x14ac:dyDescent="0.3">
      <c r="A66" s="167">
        <f>+A62+0.000001</f>
        <v>1.0402079999999994</v>
      </c>
      <c r="B66" s="225" t="s">
        <v>316</v>
      </c>
      <c r="C66" s="71" t="s">
        <v>173</v>
      </c>
      <c r="D66" s="72">
        <f>'METRADO DE BUZONES'!I114</f>
        <v>2</v>
      </c>
      <c r="E66" s="72"/>
      <c r="F66" s="72"/>
      <c r="G66" s="72"/>
      <c r="H66" s="72">
        <f t="shared" si="15"/>
        <v>2</v>
      </c>
      <c r="I66" s="68">
        <f t="shared" si="16"/>
        <v>2</v>
      </c>
    </row>
    <row r="67" spans="1:9" x14ac:dyDescent="0.3">
      <c r="A67" s="167">
        <f t="shared" si="17"/>
        <v>1.0402089999999993</v>
      </c>
      <c r="B67" s="225" t="s">
        <v>317</v>
      </c>
      <c r="C67" s="71" t="s">
        <v>173</v>
      </c>
      <c r="D67" s="72">
        <f>'METRADO DE BUZONES'!I115</f>
        <v>1</v>
      </c>
      <c r="E67" s="72"/>
      <c r="F67" s="72"/>
      <c r="G67" s="72"/>
      <c r="H67" s="72">
        <f t="shared" si="15"/>
        <v>1</v>
      </c>
      <c r="I67" s="68">
        <f t="shared" si="16"/>
        <v>1</v>
      </c>
    </row>
    <row r="68" spans="1:9" x14ac:dyDescent="0.3">
      <c r="A68" s="167">
        <f t="shared" si="17"/>
        <v>1.0402099999999992</v>
      </c>
      <c r="B68" s="225" t="s">
        <v>318</v>
      </c>
      <c r="C68" s="71" t="s">
        <v>173</v>
      </c>
      <c r="D68" s="72">
        <f>'METRADO DE BUZONES'!I116</f>
        <v>1</v>
      </c>
      <c r="E68" s="72"/>
      <c r="F68" s="72"/>
      <c r="G68" s="72"/>
      <c r="H68" s="72">
        <f t="shared" si="15"/>
        <v>1</v>
      </c>
      <c r="I68" s="68">
        <f t="shared" si="16"/>
        <v>1</v>
      </c>
    </row>
    <row r="69" spans="1:9" x14ac:dyDescent="0.3">
      <c r="A69" s="167">
        <f t="shared" si="17"/>
        <v>1.0402109999999991</v>
      </c>
      <c r="B69" s="225" t="s">
        <v>319</v>
      </c>
      <c r="C69" s="71" t="s">
        <v>173</v>
      </c>
      <c r="D69" s="72">
        <f>'METRADO DE BUZONES'!I117</f>
        <v>2</v>
      </c>
      <c r="E69" s="72"/>
      <c r="F69" s="72"/>
      <c r="G69" s="72"/>
      <c r="H69" s="72">
        <f t="shared" si="15"/>
        <v>2</v>
      </c>
      <c r="I69" s="68">
        <f t="shared" si="16"/>
        <v>2</v>
      </c>
    </row>
    <row r="70" spans="1:9" x14ac:dyDescent="0.3">
      <c r="A70" s="167">
        <f t="shared" si="17"/>
        <v>1.040211999999999</v>
      </c>
      <c r="B70" s="225" t="s">
        <v>320</v>
      </c>
      <c r="C70" s="71" t="s">
        <v>173</v>
      </c>
      <c r="D70" s="72">
        <f>'METRADO DE BUZONES'!I118</f>
        <v>1</v>
      </c>
      <c r="E70" s="72"/>
      <c r="F70" s="72"/>
      <c r="G70" s="72"/>
      <c r="H70" s="72">
        <f t="shared" si="15"/>
        <v>1</v>
      </c>
      <c r="I70" s="68">
        <f t="shared" si="16"/>
        <v>1</v>
      </c>
    </row>
    <row r="71" spans="1:9" x14ac:dyDescent="0.3">
      <c r="A71" s="167">
        <f t="shared" si="17"/>
        <v>1.0402129999999989</v>
      </c>
      <c r="B71" s="225" t="s">
        <v>322</v>
      </c>
      <c r="C71" s="71" t="s">
        <v>182</v>
      </c>
      <c r="D71" s="307">
        <f>'TUB ANULAR O SELLAR'!A12</f>
        <v>349.8</v>
      </c>
      <c r="E71" s="72"/>
      <c r="F71" s="72"/>
      <c r="G71" s="72"/>
      <c r="H71" s="72">
        <f t="shared" si="15"/>
        <v>349.8</v>
      </c>
      <c r="I71" s="68">
        <f t="shared" si="16"/>
        <v>349.8</v>
      </c>
    </row>
    <row r="72" spans="1:9" x14ac:dyDescent="0.3">
      <c r="A72" s="210">
        <f>+A48+0.01</f>
        <v>1.05</v>
      </c>
      <c r="B72" s="211" t="s">
        <v>202</v>
      </c>
      <c r="C72" s="212"/>
      <c r="D72" s="213"/>
      <c r="E72" s="213"/>
      <c r="F72" s="213"/>
      <c r="G72" s="213"/>
      <c r="H72" s="213"/>
      <c r="I72" s="68"/>
    </row>
    <row r="73" spans="1:9" x14ac:dyDescent="0.3">
      <c r="A73" s="222">
        <f>+A72+0.0001</f>
        <v>1.0501</v>
      </c>
      <c r="B73" s="223" t="s">
        <v>203</v>
      </c>
      <c r="C73" s="212"/>
      <c r="D73" s="213"/>
      <c r="E73" s="213"/>
      <c r="F73" s="213"/>
      <c r="G73" s="213"/>
      <c r="H73" s="213"/>
      <c r="I73" s="68"/>
    </row>
    <row r="74" spans="1:9" x14ac:dyDescent="0.3">
      <c r="A74" s="167">
        <f>+A73+0.000001</f>
        <v>1.050101</v>
      </c>
      <c r="B74" s="224" t="s">
        <v>204</v>
      </c>
      <c r="C74" s="71" t="s">
        <v>182</v>
      </c>
      <c r="D74" s="72">
        <v>1</v>
      </c>
      <c r="E74" s="72">
        <f>'METRADO DE ZANJA Y TUBERIA'!E101</f>
        <v>30.4</v>
      </c>
      <c r="F74" s="72"/>
      <c r="G74" s="72"/>
      <c r="H74" s="72">
        <f t="shared" ref="H74:H100" si="19">ROUND(PRODUCT(D74:G74),2)</f>
        <v>30.4</v>
      </c>
      <c r="I74" s="68">
        <f>H74</f>
        <v>30.4</v>
      </c>
    </row>
    <row r="75" spans="1:9" x14ac:dyDescent="0.3">
      <c r="A75" s="167">
        <f t="shared" ref="A75:A96" si="20">+A74+0.000001</f>
        <v>1.0501019999999999</v>
      </c>
      <c r="B75" s="224" t="s">
        <v>205</v>
      </c>
      <c r="C75" s="71" t="s">
        <v>182</v>
      </c>
      <c r="D75" s="72">
        <v>1</v>
      </c>
      <c r="E75" s="72">
        <f>'METRADO DE ZANJA Y TUBERIA'!F101</f>
        <v>207.39</v>
      </c>
      <c r="F75" s="72"/>
      <c r="G75" s="72"/>
      <c r="H75" s="72">
        <f t="shared" si="19"/>
        <v>207.39</v>
      </c>
      <c r="I75" s="68">
        <f t="shared" ref="I75:I95" si="21">H75</f>
        <v>207.39</v>
      </c>
    </row>
    <row r="76" spans="1:9" x14ac:dyDescent="0.3">
      <c r="A76" s="167">
        <f t="shared" si="20"/>
        <v>1.0501029999999998</v>
      </c>
      <c r="B76" s="224" t="s">
        <v>206</v>
      </c>
      <c r="C76" s="71" t="s">
        <v>182</v>
      </c>
      <c r="D76" s="72">
        <v>1</v>
      </c>
      <c r="E76" s="72">
        <f>'METRADO DE ZANJA Y TUBERIA'!G101</f>
        <v>456</v>
      </c>
      <c r="F76" s="72"/>
      <c r="G76" s="72"/>
      <c r="H76" s="72">
        <f t="shared" si="19"/>
        <v>456</v>
      </c>
      <c r="I76" s="68">
        <f t="shared" si="21"/>
        <v>456</v>
      </c>
    </row>
    <row r="77" spans="1:9" x14ac:dyDescent="0.3">
      <c r="A77" s="167">
        <f t="shared" si="20"/>
        <v>1.0501039999999997</v>
      </c>
      <c r="B77" s="224" t="s">
        <v>207</v>
      </c>
      <c r="C77" s="71" t="s">
        <v>182</v>
      </c>
      <c r="D77" s="72">
        <v>1</v>
      </c>
      <c r="E77" s="72">
        <f>'METRADO DE ZANJA Y TUBERIA'!H101</f>
        <v>744.42</v>
      </c>
      <c r="F77" s="72"/>
      <c r="G77" s="72"/>
      <c r="H77" s="72">
        <f t="shared" si="19"/>
        <v>744.42</v>
      </c>
      <c r="I77" s="68">
        <f t="shared" si="21"/>
        <v>744.42</v>
      </c>
    </row>
    <row r="78" spans="1:9" x14ac:dyDescent="0.3">
      <c r="A78" s="167">
        <f t="shared" si="20"/>
        <v>1.0501049999999996</v>
      </c>
      <c r="B78" s="224" t="s">
        <v>208</v>
      </c>
      <c r="C78" s="71" t="s">
        <v>182</v>
      </c>
      <c r="D78" s="72">
        <v>1</v>
      </c>
      <c r="E78" s="72">
        <f>'METRADO DE ZANJA Y TUBERIA'!I101</f>
        <v>100.99</v>
      </c>
      <c r="F78" s="72"/>
      <c r="G78" s="72"/>
      <c r="H78" s="72">
        <f t="shared" si="19"/>
        <v>100.99</v>
      </c>
      <c r="I78" s="68">
        <f t="shared" si="21"/>
        <v>100.99</v>
      </c>
    </row>
    <row r="79" spans="1:9" x14ac:dyDescent="0.3">
      <c r="A79" s="167">
        <f t="shared" si="20"/>
        <v>1.0501059999999995</v>
      </c>
      <c r="B79" s="224" t="s">
        <v>209</v>
      </c>
      <c r="C79" s="71" t="s">
        <v>182</v>
      </c>
      <c r="D79" s="72">
        <v>1</v>
      </c>
      <c r="E79" s="72">
        <f>'METRADO DE ZANJA Y TUBERIA'!I105</f>
        <v>47.31</v>
      </c>
      <c r="F79" s="72"/>
      <c r="G79" s="72"/>
      <c r="H79" s="72">
        <f t="shared" si="19"/>
        <v>47.31</v>
      </c>
      <c r="I79" s="68">
        <f t="shared" si="21"/>
        <v>47.31</v>
      </c>
    </row>
    <row r="80" spans="1:9" x14ac:dyDescent="0.3">
      <c r="A80" s="167">
        <f t="shared" si="20"/>
        <v>1.0501069999999995</v>
      </c>
      <c r="B80" s="224" t="s">
        <v>210</v>
      </c>
      <c r="C80" s="71" t="s">
        <v>182</v>
      </c>
      <c r="D80" s="72">
        <v>1</v>
      </c>
      <c r="E80" s="72">
        <f>'METRADO DE ZANJA Y TUBERIA'!J105</f>
        <v>54.63</v>
      </c>
      <c r="F80" s="72"/>
      <c r="G80" s="72"/>
      <c r="H80" s="72">
        <f t="shared" si="19"/>
        <v>54.63</v>
      </c>
      <c r="I80" s="68">
        <f t="shared" si="21"/>
        <v>54.63</v>
      </c>
    </row>
    <row r="81" spans="1:9" x14ac:dyDescent="0.3">
      <c r="A81" s="167">
        <f t="shared" si="20"/>
        <v>1.0501079999999994</v>
      </c>
      <c r="B81" s="224" t="s">
        <v>211</v>
      </c>
      <c r="C81" s="71" t="s">
        <v>182</v>
      </c>
      <c r="D81" s="72">
        <v>1</v>
      </c>
      <c r="E81" s="72">
        <f>E77</f>
        <v>744.42</v>
      </c>
      <c r="F81" s="72"/>
      <c r="G81" s="72"/>
      <c r="H81" s="72">
        <f t="shared" si="19"/>
        <v>744.42</v>
      </c>
      <c r="I81" s="68">
        <f t="shared" si="21"/>
        <v>744.42</v>
      </c>
    </row>
    <row r="82" spans="1:9" x14ac:dyDescent="0.3">
      <c r="A82" s="167">
        <f t="shared" si="20"/>
        <v>1.0501089999999993</v>
      </c>
      <c r="B82" s="224" t="s">
        <v>212</v>
      </c>
      <c r="C82" s="71" t="s">
        <v>182</v>
      </c>
      <c r="D82" s="72">
        <v>1</v>
      </c>
      <c r="E82" s="72">
        <f>E78+E80+E79</f>
        <v>202.93</v>
      </c>
      <c r="F82" s="72"/>
      <c r="G82" s="72"/>
      <c r="H82" s="72">
        <f t="shared" si="19"/>
        <v>202.93</v>
      </c>
      <c r="I82" s="68">
        <f t="shared" si="21"/>
        <v>202.93</v>
      </c>
    </row>
    <row r="83" spans="1:9" x14ac:dyDescent="0.3">
      <c r="A83" s="167">
        <f t="shared" si="20"/>
        <v>1.0501099999999992</v>
      </c>
      <c r="B83" s="224" t="s">
        <v>213</v>
      </c>
      <c r="C83" s="71" t="s">
        <v>182</v>
      </c>
      <c r="D83" s="72">
        <v>1</v>
      </c>
      <c r="E83" s="72">
        <f>SUM(E74:E78)</f>
        <v>1539.2</v>
      </c>
      <c r="F83" s="72"/>
      <c r="G83" s="72"/>
      <c r="H83" s="72">
        <f t="shared" si="19"/>
        <v>1539.2</v>
      </c>
      <c r="I83" s="68">
        <f t="shared" si="21"/>
        <v>1539.2</v>
      </c>
    </row>
    <row r="84" spans="1:9" x14ac:dyDescent="0.3">
      <c r="A84" s="167">
        <f t="shared" si="20"/>
        <v>1.0501109999999991</v>
      </c>
      <c r="B84" s="224" t="s">
        <v>214</v>
      </c>
      <c r="C84" s="71" t="s">
        <v>182</v>
      </c>
      <c r="D84" s="72">
        <v>1</v>
      </c>
      <c r="E84" s="72">
        <f>SUM(E79:E80)</f>
        <v>101.94</v>
      </c>
      <c r="F84" s="72"/>
      <c r="G84" s="72"/>
      <c r="H84" s="72">
        <f t="shared" si="19"/>
        <v>101.94</v>
      </c>
      <c r="I84" s="68">
        <f t="shared" si="21"/>
        <v>101.94</v>
      </c>
    </row>
    <row r="85" spans="1:9" x14ac:dyDescent="0.3">
      <c r="A85" s="167">
        <f t="shared" si="20"/>
        <v>1.050111999999999</v>
      </c>
      <c r="B85" s="224" t="s">
        <v>215</v>
      </c>
      <c r="C85" s="71" t="s">
        <v>182</v>
      </c>
      <c r="D85" s="72">
        <v>1</v>
      </c>
      <c r="E85" s="72">
        <f t="shared" ref="E85:E91" si="22">+E74</f>
        <v>30.4</v>
      </c>
      <c r="F85" s="72"/>
      <c r="G85" s="72"/>
      <c r="H85" s="72">
        <f t="shared" si="19"/>
        <v>30.4</v>
      </c>
      <c r="I85" s="68">
        <f t="shared" si="21"/>
        <v>30.4</v>
      </c>
    </row>
    <row r="86" spans="1:9" x14ac:dyDescent="0.3">
      <c r="A86" s="167">
        <f t="shared" si="20"/>
        <v>1.050112999999999</v>
      </c>
      <c r="B86" s="224" t="s">
        <v>216</v>
      </c>
      <c r="C86" s="71" t="s">
        <v>182</v>
      </c>
      <c r="D86" s="72">
        <v>1</v>
      </c>
      <c r="E86" s="72">
        <f t="shared" si="22"/>
        <v>207.39</v>
      </c>
      <c r="F86" s="72"/>
      <c r="G86" s="72"/>
      <c r="H86" s="72">
        <f t="shared" si="19"/>
        <v>207.39</v>
      </c>
      <c r="I86" s="68">
        <f t="shared" si="21"/>
        <v>207.39</v>
      </c>
    </row>
    <row r="87" spans="1:9" x14ac:dyDescent="0.3">
      <c r="A87" s="167">
        <f t="shared" si="20"/>
        <v>1.0501139999999989</v>
      </c>
      <c r="B87" s="224" t="s">
        <v>217</v>
      </c>
      <c r="C87" s="71" t="s">
        <v>182</v>
      </c>
      <c r="D87" s="72">
        <v>1</v>
      </c>
      <c r="E87" s="72">
        <f t="shared" si="22"/>
        <v>456</v>
      </c>
      <c r="F87" s="72"/>
      <c r="G87" s="72"/>
      <c r="H87" s="72">
        <f t="shared" si="19"/>
        <v>456</v>
      </c>
      <c r="I87" s="68">
        <f t="shared" si="21"/>
        <v>456</v>
      </c>
    </row>
    <row r="88" spans="1:9" x14ac:dyDescent="0.3">
      <c r="A88" s="167">
        <f t="shared" si="20"/>
        <v>1.0501149999999988</v>
      </c>
      <c r="B88" s="224" t="s">
        <v>218</v>
      </c>
      <c r="C88" s="71" t="s">
        <v>182</v>
      </c>
      <c r="D88" s="72">
        <v>1</v>
      </c>
      <c r="E88" s="72">
        <f t="shared" si="22"/>
        <v>744.42</v>
      </c>
      <c r="F88" s="72"/>
      <c r="G88" s="72"/>
      <c r="H88" s="72">
        <f t="shared" si="19"/>
        <v>744.42</v>
      </c>
      <c r="I88" s="68">
        <f t="shared" si="21"/>
        <v>744.42</v>
      </c>
    </row>
    <row r="89" spans="1:9" x14ac:dyDescent="0.3">
      <c r="A89" s="167">
        <f t="shared" si="20"/>
        <v>1.0501159999999987</v>
      </c>
      <c r="B89" s="224" t="s">
        <v>219</v>
      </c>
      <c r="C89" s="71" t="s">
        <v>182</v>
      </c>
      <c r="D89" s="72">
        <v>1</v>
      </c>
      <c r="E89" s="72">
        <f t="shared" si="22"/>
        <v>100.99</v>
      </c>
      <c r="F89" s="72"/>
      <c r="G89" s="72"/>
      <c r="H89" s="72">
        <f t="shared" si="19"/>
        <v>100.99</v>
      </c>
      <c r="I89" s="68">
        <f t="shared" si="21"/>
        <v>100.99</v>
      </c>
    </row>
    <row r="90" spans="1:9" x14ac:dyDescent="0.3">
      <c r="A90" s="167">
        <f t="shared" si="20"/>
        <v>1.0501169999999986</v>
      </c>
      <c r="B90" s="224" t="s">
        <v>221</v>
      </c>
      <c r="C90" s="71" t="s">
        <v>182</v>
      </c>
      <c r="D90" s="72">
        <v>1</v>
      </c>
      <c r="E90" s="72">
        <f t="shared" si="22"/>
        <v>47.31</v>
      </c>
      <c r="F90" s="72"/>
      <c r="G90" s="72"/>
      <c r="H90" s="72">
        <f t="shared" ref="H90:H91" si="23">ROUND(PRODUCT(D90:G90),2)</f>
        <v>47.31</v>
      </c>
      <c r="I90" s="68">
        <f t="shared" ref="I90:I91" si="24">H90</f>
        <v>47.31</v>
      </c>
    </row>
    <row r="91" spans="1:9" x14ac:dyDescent="0.3">
      <c r="A91" s="167">
        <f t="shared" si="20"/>
        <v>1.0501179999999986</v>
      </c>
      <c r="B91" s="224" t="s">
        <v>222</v>
      </c>
      <c r="C91" s="71" t="s">
        <v>182</v>
      </c>
      <c r="D91" s="72">
        <v>1</v>
      </c>
      <c r="E91" s="72">
        <f t="shared" si="22"/>
        <v>54.63</v>
      </c>
      <c r="F91" s="72"/>
      <c r="G91" s="72"/>
      <c r="H91" s="72">
        <f t="shared" si="23"/>
        <v>54.63</v>
      </c>
      <c r="I91" s="68">
        <f t="shared" si="24"/>
        <v>54.63</v>
      </c>
    </row>
    <row r="92" spans="1:9" x14ac:dyDescent="0.3">
      <c r="A92" s="167">
        <f t="shared" si="20"/>
        <v>1.0501189999999985</v>
      </c>
      <c r="B92" s="224" t="s">
        <v>223</v>
      </c>
      <c r="C92" s="71" t="s">
        <v>182</v>
      </c>
      <c r="D92" s="72">
        <v>1</v>
      </c>
      <c r="E92" s="72">
        <f>+E83</f>
        <v>1539.2</v>
      </c>
      <c r="F92" s="72"/>
      <c r="G92" s="72"/>
      <c r="H92" s="72">
        <f t="shared" si="19"/>
        <v>1539.2</v>
      </c>
      <c r="I92" s="68">
        <f t="shared" si="21"/>
        <v>1539.2</v>
      </c>
    </row>
    <row r="93" spans="1:9" x14ac:dyDescent="0.3">
      <c r="A93" s="167">
        <f t="shared" si="20"/>
        <v>1.0501199999999984</v>
      </c>
      <c r="B93" s="224" t="s">
        <v>224</v>
      </c>
      <c r="C93" s="71" t="s">
        <v>182</v>
      </c>
      <c r="D93" s="72">
        <v>1</v>
      </c>
      <c r="E93" s="72">
        <f>+E84</f>
        <v>101.94</v>
      </c>
      <c r="F93" s="72"/>
      <c r="G93" s="72"/>
      <c r="H93" s="72">
        <f t="shared" si="19"/>
        <v>101.94</v>
      </c>
      <c r="I93" s="68">
        <f t="shared" si="21"/>
        <v>101.94</v>
      </c>
    </row>
    <row r="94" spans="1:9" x14ac:dyDescent="0.3">
      <c r="A94" s="167">
        <f t="shared" si="20"/>
        <v>1.0501209999999983</v>
      </c>
      <c r="B94" s="224" t="s">
        <v>225</v>
      </c>
      <c r="C94" s="71" t="s">
        <v>182</v>
      </c>
      <c r="D94" s="72">
        <v>1</v>
      </c>
      <c r="E94" s="72">
        <f>E83</f>
        <v>1539.2</v>
      </c>
      <c r="F94" s="72"/>
      <c r="G94" s="72"/>
      <c r="H94" s="72">
        <f t="shared" si="19"/>
        <v>1539.2</v>
      </c>
      <c r="I94" s="68">
        <f t="shared" si="21"/>
        <v>1539.2</v>
      </c>
    </row>
    <row r="95" spans="1:9" x14ac:dyDescent="0.3">
      <c r="A95" s="167">
        <f t="shared" si="20"/>
        <v>1.0501219999999982</v>
      </c>
      <c r="B95" s="224" t="s">
        <v>338</v>
      </c>
      <c r="C95" s="71" t="s">
        <v>182</v>
      </c>
      <c r="D95" s="72">
        <v>1</v>
      </c>
      <c r="E95" s="72">
        <f>E84</f>
        <v>101.94</v>
      </c>
      <c r="F95" s="72"/>
      <c r="G95" s="72"/>
      <c r="H95" s="72">
        <f t="shared" si="19"/>
        <v>101.94</v>
      </c>
      <c r="I95" s="68">
        <f t="shared" si="21"/>
        <v>101.94</v>
      </c>
    </row>
    <row r="96" spans="1:9" x14ac:dyDescent="0.3">
      <c r="A96" s="167">
        <f t="shared" si="20"/>
        <v>1.0501229999999981</v>
      </c>
      <c r="B96" s="224" t="s">
        <v>655</v>
      </c>
      <c r="C96" s="71" t="s">
        <v>197</v>
      </c>
      <c r="D96" s="72"/>
      <c r="E96" s="72"/>
      <c r="F96" s="72"/>
      <c r="G96" s="312"/>
      <c r="H96" s="72">
        <f>ROUNDUP((H100+H104),0)</f>
        <v>35</v>
      </c>
      <c r="I96" s="68">
        <f>+H96</f>
        <v>35</v>
      </c>
    </row>
    <row r="97" spans="1:9" x14ac:dyDescent="0.3">
      <c r="A97" s="167"/>
      <c r="B97" s="163" t="s">
        <v>340</v>
      </c>
      <c r="C97" s="71"/>
      <c r="D97" s="72"/>
      <c r="E97" s="72"/>
      <c r="F97" s="72"/>
      <c r="G97" s="312"/>
      <c r="H97" s="72"/>
      <c r="I97" s="68"/>
    </row>
    <row r="98" spans="1:9" x14ac:dyDescent="0.3">
      <c r="A98" s="167"/>
      <c r="B98" s="240" t="s">
        <v>226</v>
      </c>
      <c r="C98" s="71"/>
      <c r="D98" s="311" t="s">
        <v>227</v>
      </c>
      <c r="E98" s="313">
        <v>0.12</v>
      </c>
      <c r="F98" s="72" t="s">
        <v>228</v>
      </c>
      <c r="G98" s="312">
        <f>PI()*E98*E98</f>
        <v>4.5238934211693019E-2</v>
      </c>
      <c r="H98" s="72"/>
      <c r="I98" s="68"/>
    </row>
    <row r="99" spans="1:9" x14ac:dyDescent="0.3">
      <c r="A99" s="167"/>
      <c r="B99" s="240" t="s">
        <v>229</v>
      </c>
      <c r="C99" s="71"/>
      <c r="D99" s="311" t="s">
        <v>227</v>
      </c>
      <c r="E99" s="313">
        <v>0.1</v>
      </c>
      <c r="F99" s="72" t="s">
        <v>228</v>
      </c>
      <c r="G99" s="312">
        <f>PI()*E99*E99</f>
        <v>3.1415926535897934E-2</v>
      </c>
      <c r="H99" s="72"/>
      <c r="I99" s="68"/>
    </row>
    <row r="100" spans="1:9" x14ac:dyDescent="0.3">
      <c r="A100" s="167"/>
      <c r="B100" s="240"/>
      <c r="C100" s="314" t="s">
        <v>230</v>
      </c>
      <c r="D100" s="72">
        <v>1.35</v>
      </c>
      <c r="E100" s="72">
        <f>+E94</f>
        <v>1539.2</v>
      </c>
      <c r="F100" s="72"/>
      <c r="G100" s="312">
        <f>+G98-G99</f>
        <v>1.3823007675795085E-2</v>
      </c>
      <c r="H100" s="72">
        <f t="shared" si="19"/>
        <v>28.72</v>
      </c>
      <c r="I100" s="68"/>
    </row>
    <row r="101" spans="1:9" x14ac:dyDescent="0.3">
      <c r="A101" s="167"/>
      <c r="B101" s="163" t="s">
        <v>595</v>
      </c>
      <c r="C101" s="314"/>
      <c r="D101" s="72"/>
      <c r="E101" s="72"/>
      <c r="F101" s="72"/>
      <c r="G101" s="312"/>
      <c r="H101" s="72"/>
      <c r="I101" s="68"/>
    </row>
    <row r="102" spans="1:9" x14ac:dyDescent="0.3">
      <c r="A102" s="167"/>
      <c r="B102" s="240" t="s">
        <v>226</v>
      </c>
      <c r="C102" s="71"/>
      <c r="D102" s="311" t="s">
        <v>227</v>
      </c>
      <c r="E102" s="313">
        <v>0.32</v>
      </c>
      <c r="F102" s="72" t="s">
        <v>228</v>
      </c>
      <c r="G102" s="312">
        <f>PI()*E102*E102</f>
        <v>0.32169908772759487</v>
      </c>
      <c r="H102" s="72"/>
      <c r="I102" s="68"/>
    </row>
    <row r="103" spans="1:9" x14ac:dyDescent="0.3">
      <c r="A103" s="167"/>
      <c r="B103" s="240" t="s">
        <v>229</v>
      </c>
      <c r="C103" s="71"/>
      <c r="D103" s="311" t="s">
        <v>227</v>
      </c>
      <c r="E103" s="313">
        <v>0.3</v>
      </c>
      <c r="F103" s="72" t="s">
        <v>228</v>
      </c>
      <c r="G103" s="312">
        <f>PI()*E103*E103</f>
        <v>0.28274333882308139</v>
      </c>
      <c r="H103" s="72"/>
      <c r="I103" s="68"/>
    </row>
    <row r="104" spans="1:9" x14ac:dyDescent="0.3">
      <c r="A104" s="315"/>
      <c r="B104" s="240"/>
      <c r="C104" s="314" t="s">
        <v>230</v>
      </c>
      <c r="D104" s="72">
        <v>1.35</v>
      </c>
      <c r="E104" s="72">
        <f>E95</f>
        <v>101.94</v>
      </c>
      <c r="F104" s="72"/>
      <c r="G104" s="312">
        <f>+G102-G103</f>
        <v>3.8955748904513476E-2</v>
      </c>
      <c r="H104" s="72">
        <f t="shared" ref="H104" si="25">ROUND(PRODUCT(D104:G104),2)</f>
        <v>5.36</v>
      </c>
      <c r="I104" s="68"/>
    </row>
    <row r="105" spans="1:9" x14ac:dyDescent="0.3">
      <c r="A105" s="315"/>
      <c r="B105" s="240"/>
      <c r="C105" s="314"/>
      <c r="D105" s="72"/>
      <c r="E105" s="72"/>
      <c r="F105" s="72"/>
      <c r="G105" s="312"/>
      <c r="H105" s="72"/>
      <c r="I105" s="68"/>
    </row>
    <row r="106" spans="1:9" x14ac:dyDescent="0.3">
      <c r="A106" s="222">
        <f>+A73+0.0001</f>
        <v>1.0502</v>
      </c>
      <c r="B106" s="223" t="s">
        <v>231</v>
      </c>
      <c r="C106" s="212"/>
      <c r="D106" s="213"/>
      <c r="E106" s="213"/>
      <c r="F106" s="213"/>
      <c r="G106" s="213"/>
      <c r="H106" s="213"/>
      <c r="I106" s="68"/>
    </row>
    <row r="107" spans="1:9" x14ac:dyDescent="0.3">
      <c r="A107" s="167">
        <f>+A106+0.000001</f>
        <v>1.0502009999999999</v>
      </c>
      <c r="B107" s="225" t="s">
        <v>232</v>
      </c>
      <c r="C107" s="71" t="s">
        <v>173</v>
      </c>
      <c r="D107" s="72">
        <f>'MET. DE INTERFERENCIAS'!D174</f>
        <v>155</v>
      </c>
      <c r="E107" s="213"/>
      <c r="F107" s="213"/>
      <c r="G107" s="213"/>
      <c r="H107" s="72">
        <f t="shared" ref="H107:H132" si="26">ROUND(PRODUCT(D107:G107),2)</f>
        <v>155</v>
      </c>
      <c r="I107" s="68">
        <f t="shared" ref="I107:I108" si="27">H107</f>
        <v>155</v>
      </c>
    </row>
    <row r="108" spans="1:9" x14ac:dyDescent="0.3">
      <c r="A108" s="167">
        <f t="shared" ref="A108:A132" si="28">+A107+0.000001</f>
        <v>1.0502019999999999</v>
      </c>
      <c r="B108" s="225" t="s">
        <v>656</v>
      </c>
      <c r="C108" s="71" t="s">
        <v>173</v>
      </c>
      <c r="D108" s="72">
        <f>'MET. DE INTERFERENCIAS'!C178</f>
        <v>18</v>
      </c>
      <c r="E108" s="213"/>
      <c r="F108" s="213"/>
      <c r="G108" s="213"/>
      <c r="H108" s="72">
        <f t="shared" si="26"/>
        <v>18</v>
      </c>
      <c r="I108" s="68">
        <f t="shared" si="27"/>
        <v>18</v>
      </c>
    </row>
    <row r="109" spans="1:9" x14ac:dyDescent="0.3">
      <c r="A109" s="167">
        <f t="shared" si="28"/>
        <v>1.0502029999999998</v>
      </c>
      <c r="B109" s="225" t="s">
        <v>233</v>
      </c>
      <c r="C109" s="71" t="s">
        <v>182</v>
      </c>
      <c r="D109" s="72">
        <v>1</v>
      </c>
      <c r="E109" s="72">
        <f>'METRADO DE ZANJA Y TUBERIA'!F109</f>
        <v>325.45999999999998</v>
      </c>
      <c r="F109" s="72"/>
      <c r="G109" s="72"/>
      <c r="H109" s="72">
        <f t="shared" ref="H109:H116" si="29">ROUND(PRODUCT(D109:G109),2)</f>
        <v>325.45999999999998</v>
      </c>
      <c r="I109" s="68">
        <f t="shared" ref="I109:I116" si="30">H109</f>
        <v>325.45999999999998</v>
      </c>
    </row>
    <row r="110" spans="1:9" x14ac:dyDescent="0.3">
      <c r="A110" s="167">
        <f t="shared" si="28"/>
        <v>1.0502039999999997</v>
      </c>
      <c r="B110" s="225" t="s">
        <v>234</v>
      </c>
      <c r="C110" s="71" t="s">
        <v>182</v>
      </c>
      <c r="D110" s="72">
        <v>1</v>
      </c>
      <c r="E110" s="72">
        <f>'METRADO DE ZANJA Y TUBERIA'!G109</f>
        <v>419.03999999999996</v>
      </c>
      <c r="F110" s="72"/>
      <c r="G110" s="72"/>
      <c r="H110" s="72">
        <f t="shared" si="29"/>
        <v>419.04</v>
      </c>
      <c r="I110" s="68">
        <f t="shared" si="30"/>
        <v>419.04</v>
      </c>
    </row>
    <row r="111" spans="1:9" x14ac:dyDescent="0.3">
      <c r="A111" s="167">
        <f t="shared" si="28"/>
        <v>1.0502049999999996</v>
      </c>
      <c r="B111" s="225" t="s">
        <v>235</v>
      </c>
      <c r="C111" s="71" t="s">
        <v>182</v>
      </c>
      <c r="D111" s="72">
        <v>1</v>
      </c>
      <c r="E111" s="72">
        <f>'METRADO DE ZANJA Y TUBERIA'!H109</f>
        <v>499.65000000000003</v>
      </c>
      <c r="F111" s="72"/>
      <c r="G111" s="72"/>
      <c r="H111" s="72">
        <f t="shared" si="29"/>
        <v>499.65</v>
      </c>
      <c r="I111" s="68">
        <f t="shared" si="30"/>
        <v>499.65</v>
      </c>
    </row>
    <row r="112" spans="1:9" x14ac:dyDescent="0.3">
      <c r="A112" s="167">
        <f t="shared" si="28"/>
        <v>1.0502059999999995</v>
      </c>
      <c r="B112" s="225" t="s">
        <v>236</v>
      </c>
      <c r="C112" s="71" t="s">
        <v>182</v>
      </c>
      <c r="D112" s="72">
        <v>1</v>
      </c>
      <c r="E112" s="72">
        <f>'METRADO DE ZANJA Y TUBERIA'!I109</f>
        <v>559.62</v>
      </c>
      <c r="F112" s="72"/>
      <c r="G112" s="72"/>
      <c r="H112" s="72">
        <f t="shared" si="29"/>
        <v>559.62</v>
      </c>
      <c r="I112" s="68">
        <f t="shared" si="30"/>
        <v>559.62</v>
      </c>
    </row>
    <row r="113" spans="1:9" x14ac:dyDescent="0.3">
      <c r="A113" s="167">
        <f t="shared" si="28"/>
        <v>1.0502069999999994</v>
      </c>
      <c r="B113" s="225" t="s">
        <v>341</v>
      </c>
      <c r="C113" s="71" t="s">
        <v>182</v>
      </c>
      <c r="D113" s="72">
        <v>1</v>
      </c>
      <c r="E113" s="72">
        <f>'METRADO DE ZANJA Y TUBERIA'!J109</f>
        <v>89.490000000000009</v>
      </c>
      <c r="F113" s="72"/>
      <c r="G113" s="72"/>
      <c r="H113" s="72">
        <f t="shared" si="29"/>
        <v>89.49</v>
      </c>
      <c r="I113" s="68">
        <f t="shared" si="30"/>
        <v>89.49</v>
      </c>
    </row>
    <row r="114" spans="1:9" x14ac:dyDescent="0.3">
      <c r="A114" s="167">
        <f t="shared" si="28"/>
        <v>1.0502079999999994</v>
      </c>
      <c r="B114" s="225" t="s">
        <v>342</v>
      </c>
      <c r="C114" s="71" t="s">
        <v>182</v>
      </c>
      <c r="D114" s="72">
        <v>1</v>
      </c>
      <c r="E114" s="72">
        <f>'METRADO DE ZANJA Y TUBERIA'!I113</f>
        <v>34.31</v>
      </c>
      <c r="F114" s="72"/>
      <c r="G114" s="72"/>
      <c r="H114" s="72">
        <f t="shared" si="29"/>
        <v>34.31</v>
      </c>
      <c r="I114" s="68">
        <f t="shared" si="30"/>
        <v>34.31</v>
      </c>
    </row>
    <row r="115" spans="1:9" x14ac:dyDescent="0.3">
      <c r="A115" s="167">
        <f t="shared" si="28"/>
        <v>1.0502089999999993</v>
      </c>
      <c r="B115" s="224" t="s">
        <v>211</v>
      </c>
      <c r="C115" s="71" t="s">
        <v>182</v>
      </c>
      <c r="D115" s="72">
        <v>1</v>
      </c>
      <c r="E115" s="72">
        <f>+E111</f>
        <v>499.65000000000003</v>
      </c>
      <c r="F115" s="72"/>
      <c r="G115" s="72"/>
      <c r="H115" s="72">
        <f t="shared" si="29"/>
        <v>499.65</v>
      </c>
      <c r="I115" s="68">
        <f t="shared" si="30"/>
        <v>499.65</v>
      </c>
    </row>
    <row r="116" spans="1:9" x14ac:dyDescent="0.3">
      <c r="A116" s="167">
        <f t="shared" si="28"/>
        <v>1.0502099999999992</v>
      </c>
      <c r="B116" s="224" t="s">
        <v>212</v>
      </c>
      <c r="C116" s="71" t="s">
        <v>182</v>
      </c>
      <c r="D116" s="72">
        <v>1</v>
      </c>
      <c r="E116" s="72">
        <f>+E112+E113+E114</f>
        <v>683.42000000000007</v>
      </c>
      <c r="F116" s="72"/>
      <c r="G116" s="72"/>
      <c r="H116" s="72">
        <f t="shared" si="29"/>
        <v>683.42</v>
      </c>
      <c r="I116" s="68">
        <f t="shared" si="30"/>
        <v>683.42</v>
      </c>
    </row>
    <row r="117" spans="1:9" x14ac:dyDescent="0.3">
      <c r="A117" s="167">
        <f t="shared" si="28"/>
        <v>1.0502109999999991</v>
      </c>
      <c r="B117" s="224" t="s">
        <v>213</v>
      </c>
      <c r="C117" s="71" t="s">
        <v>182</v>
      </c>
      <c r="D117" s="72">
        <v>1</v>
      </c>
      <c r="E117" s="72">
        <f>SUM(E109:E113)</f>
        <v>1893.26</v>
      </c>
      <c r="F117" s="72"/>
      <c r="G117" s="72"/>
      <c r="H117" s="72">
        <f t="shared" si="26"/>
        <v>1893.26</v>
      </c>
      <c r="I117" s="68">
        <f t="shared" ref="I117:I132" si="31">H117</f>
        <v>1893.26</v>
      </c>
    </row>
    <row r="118" spans="1:9" x14ac:dyDescent="0.3">
      <c r="A118" s="167">
        <f t="shared" si="28"/>
        <v>1.050211999999999</v>
      </c>
      <c r="B118" s="224" t="s">
        <v>214</v>
      </c>
      <c r="C118" s="71" t="s">
        <v>182</v>
      </c>
      <c r="D118" s="72">
        <v>1</v>
      </c>
      <c r="E118" s="72">
        <f>SUM(E114:E114)</f>
        <v>34.31</v>
      </c>
      <c r="F118" s="72"/>
      <c r="G118" s="72"/>
      <c r="H118" s="72">
        <f t="shared" ref="H118" si="32">ROUND(PRODUCT(D118:G118),2)</f>
        <v>34.31</v>
      </c>
      <c r="I118" s="68">
        <f t="shared" ref="I118" si="33">H118</f>
        <v>34.31</v>
      </c>
    </row>
    <row r="119" spans="1:9" x14ac:dyDescent="0.3">
      <c r="A119" s="167">
        <f t="shared" si="28"/>
        <v>1.050212999999999</v>
      </c>
      <c r="B119" s="225" t="s">
        <v>216</v>
      </c>
      <c r="C119" s="71" t="s">
        <v>182</v>
      </c>
      <c r="D119" s="72">
        <v>1</v>
      </c>
      <c r="E119" s="72">
        <f>+E109</f>
        <v>325.45999999999998</v>
      </c>
      <c r="F119" s="72"/>
      <c r="G119" s="72"/>
      <c r="H119" s="72">
        <f t="shared" si="26"/>
        <v>325.45999999999998</v>
      </c>
      <c r="I119" s="68">
        <f t="shared" si="31"/>
        <v>325.45999999999998</v>
      </c>
    </row>
    <row r="120" spans="1:9" x14ac:dyDescent="0.3">
      <c r="A120" s="167">
        <f t="shared" si="28"/>
        <v>1.0502139999999989</v>
      </c>
      <c r="B120" s="225" t="s">
        <v>217</v>
      </c>
      <c r="C120" s="71" t="s">
        <v>182</v>
      </c>
      <c r="D120" s="72">
        <v>1</v>
      </c>
      <c r="E120" s="72">
        <f>+E110</f>
        <v>419.03999999999996</v>
      </c>
      <c r="F120" s="72"/>
      <c r="G120" s="72"/>
      <c r="H120" s="72">
        <f t="shared" si="26"/>
        <v>419.04</v>
      </c>
      <c r="I120" s="68">
        <f t="shared" si="31"/>
        <v>419.04</v>
      </c>
    </row>
    <row r="121" spans="1:9" x14ac:dyDescent="0.3">
      <c r="A121" s="167">
        <f t="shared" si="28"/>
        <v>1.0502149999999988</v>
      </c>
      <c r="B121" s="225" t="s">
        <v>218</v>
      </c>
      <c r="C121" s="71" t="s">
        <v>182</v>
      </c>
      <c r="D121" s="72">
        <v>1</v>
      </c>
      <c r="E121" s="72">
        <f>+E111</f>
        <v>499.65000000000003</v>
      </c>
      <c r="F121" s="72"/>
      <c r="G121" s="72"/>
      <c r="H121" s="72">
        <f t="shared" si="26"/>
        <v>499.65</v>
      </c>
      <c r="I121" s="68">
        <f t="shared" si="31"/>
        <v>499.65</v>
      </c>
    </row>
    <row r="122" spans="1:9" x14ac:dyDescent="0.3">
      <c r="A122" s="167">
        <f t="shared" si="28"/>
        <v>1.0502159999999987</v>
      </c>
      <c r="B122" s="225" t="s">
        <v>219</v>
      </c>
      <c r="C122" s="71" t="s">
        <v>182</v>
      </c>
      <c r="D122" s="72">
        <v>1</v>
      </c>
      <c r="E122" s="72">
        <f>+E112</f>
        <v>559.62</v>
      </c>
      <c r="F122" s="72"/>
      <c r="G122" s="72"/>
      <c r="H122" s="72">
        <f t="shared" si="26"/>
        <v>559.62</v>
      </c>
      <c r="I122" s="68">
        <f t="shared" si="31"/>
        <v>559.62</v>
      </c>
    </row>
    <row r="123" spans="1:9" x14ac:dyDescent="0.3">
      <c r="A123" s="167">
        <f t="shared" si="28"/>
        <v>1.0502169999999986</v>
      </c>
      <c r="B123" s="225" t="s">
        <v>220</v>
      </c>
      <c r="C123" s="71" t="s">
        <v>182</v>
      </c>
      <c r="D123" s="72">
        <v>1</v>
      </c>
      <c r="E123" s="72">
        <f>+E113</f>
        <v>89.490000000000009</v>
      </c>
      <c r="F123" s="72"/>
      <c r="G123" s="72"/>
      <c r="H123" s="72">
        <f t="shared" ref="H123:H124" si="34">ROUND(PRODUCT(D123:G123),2)</f>
        <v>89.49</v>
      </c>
      <c r="I123" s="68">
        <f t="shared" ref="I123:I124" si="35">H123</f>
        <v>89.49</v>
      </c>
    </row>
    <row r="124" spans="1:9" x14ac:dyDescent="0.3">
      <c r="A124" s="167">
        <f t="shared" si="28"/>
        <v>1.0502179999999985</v>
      </c>
      <c r="B124" s="225" t="s">
        <v>221</v>
      </c>
      <c r="C124" s="71" t="s">
        <v>182</v>
      </c>
      <c r="D124" s="72">
        <v>1</v>
      </c>
      <c r="E124" s="72">
        <f>E114</f>
        <v>34.31</v>
      </c>
      <c r="F124" s="72"/>
      <c r="G124" s="72"/>
      <c r="H124" s="72">
        <f t="shared" si="34"/>
        <v>34.31</v>
      </c>
      <c r="I124" s="68">
        <f t="shared" si="35"/>
        <v>34.31</v>
      </c>
    </row>
    <row r="125" spans="1:9" x14ac:dyDescent="0.3">
      <c r="A125" s="167">
        <f t="shared" si="28"/>
        <v>1.0502189999999985</v>
      </c>
      <c r="B125" s="225" t="s">
        <v>237</v>
      </c>
      <c r="C125" s="71" t="s">
        <v>182</v>
      </c>
      <c r="D125" s="72">
        <v>1</v>
      </c>
      <c r="E125" s="72">
        <f>+E117</f>
        <v>1893.26</v>
      </c>
      <c r="F125" s="72"/>
      <c r="G125" s="72"/>
      <c r="H125" s="72">
        <f t="shared" si="26"/>
        <v>1893.26</v>
      </c>
      <c r="I125" s="68">
        <f t="shared" si="31"/>
        <v>1893.26</v>
      </c>
    </row>
    <row r="126" spans="1:9" x14ac:dyDescent="0.3">
      <c r="A126" s="167">
        <f t="shared" si="28"/>
        <v>1.0502199999999984</v>
      </c>
      <c r="B126" s="225" t="s">
        <v>238</v>
      </c>
      <c r="C126" s="71" t="s">
        <v>182</v>
      </c>
      <c r="D126" s="72">
        <v>1</v>
      </c>
      <c r="E126" s="72">
        <f>+E125</f>
        <v>1893.26</v>
      </c>
      <c r="F126" s="72"/>
      <c r="G126" s="72"/>
      <c r="H126" s="72">
        <f t="shared" si="26"/>
        <v>1893.26</v>
      </c>
      <c r="I126" s="68">
        <f t="shared" si="31"/>
        <v>1893.26</v>
      </c>
    </row>
    <row r="127" spans="1:9" x14ac:dyDescent="0.3">
      <c r="A127" s="167">
        <f t="shared" si="28"/>
        <v>1.0502209999999983</v>
      </c>
      <c r="B127" s="225" t="s">
        <v>343</v>
      </c>
      <c r="C127" s="71" t="s">
        <v>182</v>
      </c>
      <c r="D127" s="72">
        <v>1</v>
      </c>
      <c r="E127" s="72">
        <f>+E118</f>
        <v>34.31</v>
      </c>
      <c r="F127" s="72"/>
      <c r="G127" s="72"/>
      <c r="H127" s="72">
        <f t="shared" ref="H127:H130" si="36">ROUND(PRODUCT(D127:G127),2)</f>
        <v>34.31</v>
      </c>
      <c r="I127" s="68">
        <f t="shared" ref="I127:I130" si="37">H127</f>
        <v>34.31</v>
      </c>
    </row>
    <row r="128" spans="1:9" x14ac:dyDescent="0.3">
      <c r="A128" s="167">
        <f t="shared" si="28"/>
        <v>1.0502219999999982</v>
      </c>
      <c r="B128" s="225" t="s">
        <v>344</v>
      </c>
      <c r="C128" s="71" t="s">
        <v>182</v>
      </c>
      <c r="D128" s="72">
        <v>1</v>
      </c>
      <c r="E128" s="72">
        <f>+E127</f>
        <v>34.31</v>
      </c>
      <c r="F128" s="72"/>
      <c r="G128" s="72"/>
      <c r="H128" s="72">
        <f t="shared" si="36"/>
        <v>34.31</v>
      </c>
      <c r="I128" s="68">
        <f t="shared" si="37"/>
        <v>34.31</v>
      </c>
    </row>
    <row r="129" spans="1:9" x14ac:dyDescent="0.3">
      <c r="A129" s="167">
        <f t="shared" si="28"/>
        <v>1.0502229999999981</v>
      </c>
      <c r="B129" s="224" t="s">
        <v>225</v>
      </c>
      <c r="C129" s="71" t="s">
        <v>182</v>
      </c>
      <c r="D129" s="72">
        <v>1</v>
      </c>
      <c r="E129" s="72">
        <f>E117</f>
        <v>1893.26</v>
      </c>
      <c r="F129" s="72"/>
      <c r="G129" s="72"/>
      <c r="H129" s="72">
        <f t="shared" si="36"/>
        <v>1893.26</v>
      </c>
      <c r="I129" s="68">
        <f t="shared" si="37"/>
        <v>1893.26</v>
      </c>
    </row>
    <row r="130" spans="1:9" x14ac:dyDescent="0.3">
      <c r="A130" s="167">
        <f t="shared" si="28"/>
        <v>1.050223999999998</v>
      </c>
      <c r="B130" s="224" t="s">
        <v>338</v>
      </c>
      <c r="C130" s="71" t="s">
        <v>182</v>
      </c>
      <c r="D130" s="72">
        <v>1</v>
      </c>
      <c r="E130" s="72">
        <f>E118</f>
        <v>34.31</v>
      </c>
      <c r="F130" s="72"/>
      <c r="G130" s="72"/>
      <c r="H130" s="72">
        <f t="shared" si="36"/>
        <v>34.31</v>
      </c>
      <c r="I130" s="68">
        <f t="shared" si="37"/>
        <v>34.31</v>
      </c>
    </row>
    <row r="131" spans="1:9" x14ac:dyDescent="0.3">
      <c r="A131" s="167">
        <f t="shared" si="28"/>
        <v>1.050224999999998</v>
      </c>
      <c r="B131" s="224" t="s">
        <v>223</v>
      </c>
      <c r="C131" s="71" t="s">
        <v>182</v>
      </c>
      <c r="D131" s="72">
        <v>1</v>
      </c>
      <c r="E131" s="72">
        <f>+E117</f>
        <v>1893.26</v>
      </c>
      <c r="F131" s="72"/>
      <c r="G131" s="72"/>
      <c r="H131" s="72">
        <f t="shared" si="26"/>
        <v>1893.26</v>
      </c>
      <c r="I131" s="68">
        <f t="shared" si="31"/>
        <v>1893.26</v>
      </c>
    </row>
    <row r="132" spans="1:9" x14ac:dyDescent="0.3">
      <c r="A132" s="167">
        <f t="shared" si="28"/>
        <v>1.0502259999999979</v>
      </c>
      <c r="B132" s="224" t="s">
        <v>224</v>
      </c>
      <c r="C132" s="71" t="s">
        <v>182</v>
      </c>
      <c r="D132" s="72">
        <v>1</v>
      </c>
      <c r="E132" s="72">
        <f>+E118</f>
        <v>34.31</v>
      </c>
      <c r="F132" s="72"/>
      <c r="G132" s="72"/>
      <c r="H132" s="72">
        <f t="shared" si="26"/>
        <v>34.31</v>
      </c>
      <c r="I132" s="68">
        <f t="shared" si="31"/>
        <v>34.31</v>
      </c>
    </row>
    <row r="133" spans="1:9" x14ac:dyDescent="0.3">
      <c r="A133" s="222">
        <f>+A106+0.0001</f>
        <v>1.0503</v>
      </c>
      <c r="B133" s="223" t="s">
        <v>239</v>
      </c>
      <c r="C133" s="71"/>
      <c r="D133" s="72"/>
      <c r="E133" s="72"/>
      <c r="F133" s="72"/>
      <c r="G133" s="72"/>
      <c r="H133" s="72"/>
      <c r="I133" s="68"/>
    </row>
    <row r="134" spans="1:9" x14ac:dyDescent="0.3">
      <c r="A134" s="167">
        <f t="shared" ref="A134:A161" si="38">+A133+0.000001</f>
        <v>1.0503009999999999</v>
      </c>
      <c r="B134" s="224" t="s">
        <v>240</v>
      </c>
      <c r="C134" s="71" t="s">
        <v>173</v>
      </c>
      <c r="D134" s="72">
        <f>'CUADRO DE CONEX DOMICILIARIAS'!W488</f>
        <v>264</v>
      </c>
      <c r="E134" s="72"/>
      <c r="F134" s="72"/>
      <c r="G134" s="72"/>
      <c r="H134" s="72">
        <f t="shared" ref="H134" si="39">ROUND(PRODUCT(D134:G134),2)</f>
        <v>264</v>
      </c>
      <c r="I134" s="68">
        <f t="shared" ref="I134" si="40">H134</f>
        <v>264</v>
      </c>
    </row>
    <row r="135" spans="1:9" x14ac:dyDescent="0.3">
      <c r="A135" s="167"/>
      <c r="B135" s="224"/>
      <c r="C135" s="71"/>
      <c r="D135" s="72"/>
      <c r="E135" s="72"/>
      <c r="F135" s="72"/>
      <c r="G135" s="72"/>
      <c r="H135" s="72"/>
      <c r="I135" s="68"/>
    </row>
    <row r="136" spans="1:9" x14ac:dyDescent="0.3">
      <c r="A136" s="167">
        <f>+A134+0.000001</f>
        <v>1.0503019999999998</v>
      </c>
      <c r="B136" s="224" t="s">
        <v>241</v>
      </c>
      <c r="C136" s="71" t="s">
        <v>197</v>
      </c>
      <c r="D136" s="72"/>
      <c r="E136" s="72"/>
      <c r="F136" s="72"/>
      <c r="G136" s="72"/>
      <c r="H136" s="72"/>
      <c r="I136" s="68">
        <f>SUM(H137:H139)</f>
        <v>12.74</v>
      </c>
    </row>
    <row r="137" spans="1:9" x14ac:dyDescent="0.3">
      <c r="A137" s="167"/>
      <c r="B137" s="164" t="s">
        <v>242</v>
      </c>
      <c r="C137" s="277"/>
      <c r="D137" s="72">
        <f>+D134</f>
        <v>264</v>
      </c>
      <c r="E137" s="72" t="s">
        <v>228</v>
      </c>
      <c r="F137" s="72">
        <f>0.3*0.1</f>
        <v>0.03</v>
      </c>
      <c r="G137" s="72">
        <v>0.5</v>
      </c>
      <c r="H137" s="72">
        <f t="shared" ref="H137:H161" si="41">ROUND(PRODUCT(D137:G137),2)</f>
        <v>3.96</v>
      </c>
      <c r="I137" s="68"/>
    </row>
    <row r="138" spans="1:9" x14ac:dyDescent="0.3">
      <c r="A138" s="167"/>
      <c r="B138" s="164"/>
      <c r="C138" s="277"/>
      <c r="D138" s="72">
        <f>+D137</f>
        <v>264</v>
      </c>
      <c r="E138" s="72" t="s">
        <v>228</v>
      </c>
      <c r="F138" s="72">
        <f>0.35*0.1</f>
        <v>3.4999999999999996E-2</v>
      </c>
      <c r="G138" s="72">
        <v>0.5</v>
      </c>
      <c r="H138" s="72">
        <f t="shared" si="41"/>
        <v>4.62</v>
      </c>
      <c r="I138" s="68"/>
    </row>
    <row r="139" spans="1:9" x14ac:dyDescent="0.3">
      <c r="A139" s="167"/>
      <c r="B139" s="164" t="s">
        <v>243</v>
      </c>
      <c r="C139" s="277"/>
      <c r="D139" s="72">
        <f>+D137</f>
        <v>264</v>
      </c>
      <c r="E139" s="72">
        <v>0.35</v>
      </c>
      <c r="F139" s="72">
        <v>0.3</v>
      </c>
      <c r="G139" s="72">
        <v>0.15</v>
      </c>
      <c r="H139" s="72">
        <f t="shared" si="41"/>
        <v>4.16</v>
      </c>
      <c r="I139" s="68"/>
    </row>
    <row r="140" spans="1:9" x14ac:dyDescent="0.3">
      <c r="A140" s="167"/>
      <c r="B140" s="224"/>
      <c r="C140" s="277"/>
      <c r="D140" s="72"/>
      <c r="E140" s="72"/>
      <c r="F140" s="72"/>
      <c r="G140" s="72"/>
      <c r="H140" s="72"/>
      <c r="I140" s="68"/>
    </row>
    <row r="141" spans="1:9" x14ac:dyDescent="0.3">
      <c r="A141" s="167">
        <f>+A136+0.000001</f>
        <v>1.0503029999999998</v>
      </c>
      <c r="B141" s="224" t="s">
        <v>657</v>
      </c>
      <c r="C141" s="277" t="s">
        <v>197</v>
      </c>
      <c r="D141" s="72"/>
      <c r="E141" s="72"/>
      <c r="F141" s="72"/>
      <c r="G141" s="72"/>
      <c r="H141" s="72"/>
      <c r="I141" s="68">
        <f>SUM(H142:H144)</f>
        <v>12.74</v>
      </c>
    </row>
    <row r="142" spans="1:9" x14ac:dyDescent="0.3">
      <c r="A142" s="167"/>
      <c r="B142" s="164" t="s">
        <v>242</v>
      </c>
      <c r="C142" s="277"/>
      <c r="D142" s="72">
        <f>+D134</f>
        <v>264</v>
      </c>
      <c r="E142" s="72" t="s">
        <v>228</v>
      </c>
      <c r="F142" s="72">
        <f>0.3*0.1</f>
        <v>0.03</v>
      </c>
      <c r="G142" s="72">
        <v>0.5</v>
      </c>
      <c r="H142" s="72">
        <f t="shared" ref="H142:H144" si="42">ROUND(PRODUCT(D142:G142),2)</f>
        <v>3.96</v>
      </c>
      <c r="I142" s="68"/>
    </row>
    <row r="143" spans="1:9" x14ac:dyDescent="0.3">
      <c r="A143" s="167"/>
      <c r="B143" s="164"/>
      <c r="C143" s="277"/>
      <c r="D143" s="72">
        <f>+D142</f>
        <v>264</v>
      </c>
      <c r="E143" s="72" t="s">
        <v>228</v>
      </c>
      <c r="F143" s="72">
        <f>0.35*0.1</f>
        <v>3.4999999999999996E-2</v>
      </c>
      <c r="G143" s="72">
        <v>0.5</v>
      </c>
      <c r="H143" s="72">
        <f t="shared" si="42"/>
        <v>4.62</v>
      </c>
      <c r="I143" s="68"/>
    </row>
    <row r="144" spans="1:9" x14ac:dyDescent="0.3">
      <c r="A144" s="167"/>
      <c r="B144" s="164" t="s">
        <v>243</v>
      </c>
      <c r="C144" s="277"/>
      <c r="D144" s="72">
        <f>+D142</f>
        <v>264</v>
      </c>
      <c r="E144" s="72">
        <v>0.35</v>
      </c>
      <c r="F144" s="72">
        <v>0.3</v>
      </c>
      <c r="G144" s="72">
        <v>0.15</v>
      </c>
      <c r="H144" s="72">
        <f t="shared" si="42"/>
        <v>4.16</v>
      </c>
      <c r="I144" s="68"/>
    </row>
    <row r="145" spans="1:9" x14ac:dyDescent="0.3">
      <c r="A145" s="167"/>
      <c r="B145" s="224"/>
      <c r="C145" s="71"/>
      <c r="D145" s="72"/>
      <c r="E145" s="72"/>
      <c r="F145" s="72"/>
      <c r="G145" s="72"/>
      <c r="H145" s="72"/>
      <c r="I145" s="68"/>
    </row>
    <row r="146" spans="1:9" x14ac:dyDescent="0.3">
      <c r="A146" s="167">
        <f>+A141+0.000001</f>
        <v>1.0503039999999997</v>
      </c>
      <c r="B146" s="224" t="s">
        <v>194</v>
      </c>
      <c r="C146" s="71" t="s">
        <v>193</v>
      </c>
      <c r="D146" s="72"/>
      <c r="E146" s="72"/>
      <c r="F146" s="72"/>
      <c r="G146" s="72"/>
      <c r="H146" s="72"/>
      <c r="I146" s="68">
        <f>SUM(H147:H148)</f>
        <v>1818.71</v>
      </c>
    </row>
    <row r="147" spans="1:9" x14ac:dyDescent="0.3">
      <c r="A147" s="167"/>
      <c r="B147" s="240" t="s">
        <v>244</v>
      </c>
      <c r="C147" s="71"/>
      <c r="D147" s="72"/>
      <c r="E147" s="72">
        <v>1430.71</v>
      </c>
      <c r="F147" s="72">
        <v>1</v>
      </c>
      <c r="G147" s="72"/>
      <c r="H147" s="72">
        <f t="shared" ref="H147:H148" si="43">ROUND(PRODUCT(D147:G147),2)</f>
        <v>1430.71</v>
      </c>
      <c r="I147" s="68"/>
    </row>
    <row r="148" spans="1:9" x14ac:dyDescent="0.3">
      <c r="A148" s="167"/>
      <c r="B148" s="240" t="s">
        <v>245</v>
      </c>
      <c r="C148" s="71"/>
      <c r="D148" s="72"/>
      <c r="E148" s="72">
        <v>388</v>
      </c>
      <c r="F148" s="72">
        <v>1</v>
      </c>
      <c r="G148" s="72"/>
      <c r="H148" s="72">
        <f t="shared" si="43"/>
        <v>388</v>
      </c>
      <c r="I148" s="68"/>
    </row>
    <row r="149" spans="1:9" x14ac:dyDescent="0.3">
      <c r="A149" s="167"/>
      <c r="B149" s="224"/>
      <c r="C149" s="71"/>
      <c r="D149" s="72"/>
      <c r="E149" s="72"/>
      <c r="F149" s="72"/>
      <c r="G149" s="72"/>
      <c r="H149" s="72"/>
      <c r="I149" s="68"/>
    </row>
    <row r="150" spans="1:9" x14ac:dyDescent="0.3">
      <c r="A150" s="167">
        <f>+A146+0.000001</f>
        <v>1.0503049999999996</v>
      </c>
      <c r="B150" s="224" t="s">
        <v>246</v>
      </c>
      <c r="C150" s="71" t="s">
        <v>182</v>
      </c>
      <c r="D150" s="72">
        <f t="shared" ref="D150:D161" si="44">D$134</f>
        <v>264</v>
      </c>
      <c r="E150" s="72">
        <v>3</v>
      </c>
      <c r="F150" s="72"/>
      <c r="G150" s="72"/>
      <c r="H150" s="72">
        <f t="shared" si="41"/>
        <v>792</v>
      </c>
      <c r="I150" s="68">
        <f t="shared" ref="I150:I161" si="45">H150</f>
        <v>792</v>
      </c>
    </row>
    <row r="151" spans="1:9" x14ac:dyDescent="0.3">
      <c r="A151" s="167">
        <f t="shared" si="38"/>
        <v>1.0503059999999995</v>
      </c>
      <c r="B151" s="224" t="s">
        <v>247</v>
      </c>
      <c r="C151" s="71" t="s">
        <v>182</v>
      </c>
      <c r="D151" s="72">
        <f t="shared" si="44"/>
        <v>264</v>
      </c>
      <c r="E151" s="72">
        <v>3</v>
      </c>
      <c r="F151" s="72"/>
      <c r="G151" s="72"/>
      <c r="H151" s="72">
        <f t="shared" si="41"/>
        <v>792</v>
      </c>
      <c r="I151" s="68">
        <f t="shared" si="45"/>
        <v>792</v>
      </c>
    </row>
    <row r="152" spans="1:9" x14ac:dyDescent="0.3">
      <c r="A152" s="167">
        <f t="shared" si="38"/>
        <v>1.0503069999999994</v>
      </c>
      <c r="B152" s="224" t="s">
        <v>248</v>
      </c>
      <c r="C152" s="71" t="s">
        <v>182</v>
      </c>
      <c r="D152" s="72">
        <f t="shared" si="44"/>
        <v>264</v>
      </c>
      <c r="E152" s="72">
        <v>3</v>
      </c>
      <c r="F152" s="72"/>
      <c r="G152" s="72"/>
      <c r="H152" s="72">
        <f t="shared" si="41"/>
        <v>792</v>
      </c>
      <c r="I152" s="68">
        <f t="shared" si="45"/>
        <v>792</v>
      </c>
    </row>
    <row r="153" spans="1:9" x14ac:dyDescent="0.3">
      <c r="A153" s="167">
        <f t="shared" si="38"/>
        <v>1.0503079999999994</v>
      </c>
      <c r="B153" s="224" t="s">
        <v>249</v>
      </c>
      <c r="C153" s="71" t="s">
        <v>182</v>
      </c>
      <c r="D153" s="72">
        <f t="shared" si="44"/>
        <v>264</v>
      </c>
      <c r="E153" s="72">
        <v>3</v>
      </c>
      <c r="F153" s="72"/>
      <c r="G153" s="72"/>
      <c r="H153" s="72">
        <f t="shared" si="41"/>
        <v>792</v>
      </c>
      <c r="I153" s="68">
        <f t="shared" si="45"/>
        <v>792</v>
      </c>
    </row>
    <row r="154" spans="1:9" x14ac:dyDescent="0.3">
      <c r="A154" s="167">
        <f t="shared" si="38"/>
        <v>1.0503089999999993</v>
      </c>
      <c r="B154" s="224" t="s">
        <v>250</v>
      </c>
      <c r="C154" s="71" t="s">
        <v>182</v>
      </c>
      <c r="D154" s="72">
        <f t="shared" si="44"/>
        <v>264</v>
      </c>
      <c r="E154" s="72">
        <v>3</v>
      </c>
      <c r="F154" s="72"/>
      <c r="G154" s="72"/>
      <c r="H154" s="72">
        <f t="shared" si="41"/>
        <v>792</v>
      </c>
      <c r="I154" s="68">
        <f t="shared" si="45"/>
        <v>792</v>
      </c>
    </row>
    <row r="155" spans="1:9" x14ac:dyDescent="0.3">
      <c r="A155" s="167">
        <f t="shared" si="38"/>
        <v>1.0503099999999992</v>
      </c>
      <c r="B155" s="224" t="s">
        <v>251</v>
      </c>
      <c r="C155" s="71" t="s">
        <v>182</v>
      </c>
      <c r="D155" s="72">
        <f t="shared" si="44"/>
        <v>264</v>
      </c>
      <c r="E155" s="72">
        <v>3</v>
      </c>
      <c r="F155" s="72"/>
      <c r="G155" s="72"/>
      <c r="H155" s="72">
        <f t="shared" si="41"/>
        <v>792</v>
      </c>
      <c r="I155" s="68">
        <f t="shared" si="45"/>
        <v>792</v>
      </c>
    </row>
    <row r="156" spans="1:9" x14ac:dyDescent="0.3">
      <c r="A156" s="167">
        <f t="shared" si="38"/>
        <v>1.0503109999999991</v>
      </c>
      <c r="B156" s="224" t="s">
        <v>252</v>
      </c>
      <c r="C156" s="71" t="s">
        <v>182</v>
      </c>
      <c r="D156" s="72">
        <f t="shared" si="44"/>
        <v>264</v>
      </c>
      <c r="E156" s="72">
        <v>3</v>
      </c>
      <c r="F156" s="72"/>
      <c r="G156" s="72"/>
      <c r="H156" s="72">
        <f t="shared" si="41"/>
        <v>792</v>
      </c>
      <c r="I156" s="68">
        <f t="shared" si="45"/>
        <v>792</v>
      </c>
    </row>
    <row r="157" spans="1:9" x14ac:dyDescent="0.3">
      <c r="A157" s="167">
        <f t="shared" si="38"/>
        <v>1.050311999999999</v>
      </c>
      <c r="B157" s="224" t="s">
        <v>253</v>
      </c>
      <c r="C157" s="71" t="s">
        <v>182</v>
      </c>
      <c r="D157" s="72">
        <f t="shared" si="44"/>
        <v>264</v>
      </c>
      <c r="E157" s="72">
        <v>3</v>
      </c>
      <c r="F157" s="72"/>
      <c r="G157" s="72"/>
      <c r="H157" s="72">
        <f t="shared" si="41"/>
        <v>792</v>
      </c>
      <c r="I157" s="68">
        <f t="shared" si="45"/>
        <v>792</v>
      </c>
    </row>
    <row r="158" spans="1:9" x14ac:dyDescent="0.3">
      <c r="A158" s="167">
        <f t="shared" si="38"/>
        <v>1.0503129999999989</v>
      </c>
      <c r="B158" s="224" t="s">
        <v>254</v>
      </c>
      <c r="C158" s="71" t="s">
        <v>182</v>
      </c>
      <c r="D158" s="72">
        <f t="shared" si="44"/>
        <v>264</v>
      </c>
      <c r="E158" s="72">
        <v>3</v>
      </c>
      <c r="F158" s="72"/>
      <c r="G158" s="72"/>
      <c r="H158" s="72">
        <f t="shared" si="41"/>
        <v>792</v>
      </c>
      <c r="I158" s="68">
        <f t="shared" si="45"/>
        <v>792</v>
      </c>
    </row>
    <row r="159" spans="1:9" x14ac:dyDescent="0.3">
      <c r="A159" s="167">
        <f t="shared" si="38"/>
        <v>1.0503139999999989</v>
      </c>
      <c r="B159" s="224" t="s">
        <v>658</v>
      </c>
      <c r="C159" s="71" t="s">
        <v>173</v>
      </c>
      <c r="D159" s="72">
        <f t="shared" si="44"/>
        <v>264</v>
      </c>
      <c r="E159" s="72"/>
      <c r="F159" s="72"/>
      <c r="G159" s="72"/>
      <c r="H159" s="72">
        <f t="shared" si="41"/>
        <v>264</v>
      </c>
      <c r="I159" s="68">
        <f t="shared" si="45"/>
        <v>264</v>
      </c>
    </row>
    <row r="160" spans="1:9" x14ac:dyDescent="0.3">
      <c r="A160" s="167">
        <f t="shared" si="38"/>
        <v>1.0503149999999988</v>
      </c>
      <c r="B160" s="225" t="s">
        <v>255</v>
      </c>
      <c r="C160" s="71" t="s">
        <v>173</v>
      </c>
      <c r="D160" s="72">
        <f t="shared" si="44"/>
        <v>264</v>
      </c>
      <c r="E160" s="72"/>
      <c r="F160" s="72"/>
      <c r="G160" s="72"/>
      <c r="H160" s="72">
        <f t="shared" si="41"/>
        <v>264</v>
      </c>
      <c r="I160" s="68">
        <f t="shared" si="45"/>
        <v>264</v>
      </c>
    </row>
    <row r="161" spans="1:9" x14ac:dyDescent="0.3">
      <c r="A161" s="167">
        <f t="shared" si="38"/>
        <v>1.0503159999999987</v>
      </c>
      <c r="B161" s="224" t="s">
        <v>256</v>
      </c>
      <c r="C161" s="71" t="s">
        <v>173</v>
      </c>
      <c r="D161" s="72">
        <f t="shared" si="44"/>
        <v>264</v>
      </c>
      <c r="E161" s="72"/>
      <c r="F161" s="72"/>
      <c r="G161" s="72"/>
      <c r="H161" s="72">
        <f t="shared" si="41"/>
        <v>264</v>
      </c>
      <c r="I161" s="68">
        <f t="shared" si="45"/>
        <v>264</v>
      </c>
    </row>
    <row r="162" spans="1:9" x14ac:dyDescent="0.3">
      <c r="A162" s="215"/>
      <c r="B162" s="70"/>
      <c r="C162" s="71"/>
      <c r="D162" s="72"/>
      <c r="E162" s="72"/>
      <c r="F162" s="72"/>
      <c r="G162" s="72"/>
      <c r="H162" s="72"/>
      <c r="I162" s="68"/>
    </row>
    <row r="163" spans="1:9" x14ac:dyDescent="0.3">
      <c r="A163" s="210">
        <f>+A72+0.01</f>
        <v>1.06</v>
      </c>
      <c r="B163" s="211" t="s">
        <v>257</v>
      </c>
      <c r="C163" s="212"/>
      <c r="D163" s="213"/>
      <c r="E163" s="213"/>
      <c r="F163" s="213"/>
      <c r="G163" s="213"/>
      <c r="H163" s="213"/>
      <c r="I163" s="68"/>
    </row>
    <row r="164" spans="1:9" x14ac:dyDescent="0.3">
      <c r="A164" s="69">
        <f>+A163+0.0001</f>
        <v>1.0601</v>
      </c>
      <c r="B164" s="70" t="s">
        <v>659</v>
      </c>
      <c r="C164" s="71" t="s">
        <v>182</v>
      </c>
      <c r="D164" s="72">
        <v>1</v>
      </c>
      <c r="E164" s="72">
        <f>'METRADO DE ZANJA Y TUBERIA'!A141</f>
        <v>3152.5600000000004</v>
      </c>
      <c r="F164" s="72"/>
      <c r="G164" s="72"/>
      <c r="H164" s="72">
        <f t="shared" ref="H164:H169" si="46">ROUND(PRODUCT(D164:G164),2)</f>
        <v>3152.56</v>
      </c>
      <c r="I164" s="68">
        <f t="shared" ref="I164:I169" si="47">H164</f>
        <v>3152.56</v>
      </c>
    </row>
    <row r="165" spans="1:9" x14ac:dyDescent="0.3">
      <c r="A165" s="69">
        <f t="shared" ref="A165:A169" si="48">+A164+0.0001</f>
        <v>1.0602</v>
      </c>
      <c r="B165" s="70" t="s">
        <v>660</v>
      </c>
      <c r="C165" s="71" t="s">
        <v>182</v>
      </c>
      <c r="D165" s="72">
        <v>1</v>
      </c>
      <c r="E165" s="72">
        <f>'METRADO DE ZANJA Y TUBERIA'!B141</f>
        <v>375.11999999999995</v>
      </c>
      <c r="F165" s="72"/>
      <c r="G165" s="72"/>
      <c r="H165" s="72">
        <f t="shared" si="46"/>
        <v>375.12</v>
      </c>
      <c r="I165" s="68">
        <f t="shared" si="47"/>
        <v>375.12</v>
      </c>
    </row>
    <row r="166" spans="1:9" x14ac:dyDescent="0.3">
      <c r="A166" s="69">
        <f t="shared" si="48"/>
        <v>1.0603</v>
      </c>
      <c r="B166" s="70" t="s">
        <v>661</v>
      </c>
      <c r="C166" s="71" t="s">
        <v>182</v>
      </c>
      <c r="D166" s="72">
        <v>1</v>
      </c>
      <c r="E166" s="72">
        <f>'METRADO DE ZANJA Y TUBERIA'!C141</f>
        <v>137.45000000000002</v>
      </c>
      <c r="F166" s="72"/>
      <c r="G166" s="72"/>
      <c r="H166" s="72">
        <f t="shared" si="46"/>
        <v>137.44999999999999</v>
      </c>
      <c r="I166" s="68">
        <f t="shared" si="47"/>
        <v>137.44999999999999</v>
      </c>
    </row>
    <row r="167" spans="1:9" x14ac:dyDescent="0.3">
      <c r="A167" s="69">
        <f t="shared" si="48"/>
        <v>1.0604</v>
      </c>
      <c r="B167" s="70" t="s">
        <v>662</v>
      </c>
      <c r="C167" s="71" t="s">
        <v>182</v>
      </c>
      <c r="D167" s="72">
        <v>1</v>
      </c>
      <c r="E167" s="72">
        <f>+E164</f>
        <v>3152.5600000000004</v>
      </c>
      <c r="F167" s="72"/>
      <c r="G167" s="72"/>
      <c r="H167" s="72">
        <f t="shared" si="46"/>
        <v>3152.56</v>
      </c>
      <c r="I167" s="68">
        <f t="shared" si="47"/>
        <v>3152.56</v>
      </c>
    </row>
    <row r="168" spans="1:9" x14ac:dyDescent="0.3">
      <c r="A168" s="69">
        <f t="shared" si="48"/>
        <v>1.0605</v>
      </c>
      <c r="B168" s="70" t="s">
        <v>663</v>
      </c>
      <c r="C168" s="71" t="s">
        <v>182</v>
      </c>
      <c r="D168" s="72">
        <v>1</v>
      </c>
      <c r="E168" s="72">
        <f t="shared" ref="E168:E169" si="49">+E165</f>
        <v>375.11999999999995</v>
      </c>
      <c r="F168" s="72"/>
      <c r="G168" s="72"/>
      <c r="H168" s="72">
        <f t="shared" si="46"/>
        <v>375.12</v>
      </c>
      <c r="I168" s="68">
        <f t="shared" si="47"/>
        <v>375.12</v>
      </c>
    </row>
    <row r="169" spans="1:9" x14ac:dyDescent="0.3">
      <c r="A169" s="69">
        <f t="shared" si="48"/>
        <v>1.0606</v>
      </c>
      <c r="B169" s="70" t="s">
        <v>664</v>
      </c>
      <c r="C169" s="71" t="s">
        <v>182</v>
      </c>
      <c r="D169" s="72">
        <v>1</v>
      </c>
      <c r="E169" s="72">
        <f t="shared" si="49"/>
        <v>137.45000000000002</v>
      </c>
      <c r="F169" s="72"/>
      <c r="G169" s="72"/>
      <c r="H169" s="72">
        <f t="shared" si="46"/>
        <v>137.44999999999999</v>
      </c>
      <c r="I169" s="68">
        <f t="shared" si="47"/>
        <v>137.44999999999999</v>
      </c>
    </row>
    <row r="170" spans="1:9" x14ac:dyDescent="0.3">
      <c r="A170" s="215"/>
      <c r="B170" s="70"/>
      <c r="C170" s="71"/>
      <c r="D170" s="72"/>
      <c r="E170" s="72"/>
      <c r="F170" s="72"/>
      <c r="G170" s="72"/>
      <c r="H170" s="72"/>
      <c r="I170" s="68"/>
    </row>
    <row r="171" spans="1:9" x14ac:dyDescent="0.3">
      <c r="A171" s="210">
        <f>+A163+0.01</f>
        <v>1.07</v>
      </c>
      <c r="B171" s="211" t="s">
        <v>258</v>
      </c>
      <c r="C171" s="212"/>
      <c r="D171" s="213"/>
      <c r="E171" s="213"/>
      <c r="F171" s="213"/>
      <c r="G171" s="213"/>
      <c r="H171" s="213"/>
      <c r="I171" s="68"/>
    </row>
    <row r="172" spans="1:9" x14ac:dyDescent="0.3">
      <c r="A172" s="69">
        <f>+A171+0.0001</f>
        <v>1.0701000000000001</v>
      </c>
      <c r="B172" s="70" t="s">
        <v>259</v>
      </c>
      <c r="C172" s="71" t="s">
        <v>182</v>
      </c>
      <c r="D172" s="72">
        <v>1</v>
      </c>
      <c r="E172" s="72">
        <f>+E167</f>
        <v>3152.5600000000004</v>
      </c>
      <c r="F172" s="72"/>
      <c r="G172" s="72"/>
      <c r="H172" s="72">
        <f>D172*E172</f>
        <v>3152.5600000000004</v>
      </c>
      <c r="I172" s="68">
        <f>H172</f>
        <v>3152.5600000000004</v>
      </c>
    </row>
    <row r="173" spans="1:9" x14ac:dyDescent="0.3">
      <c r="A173" s="69">
        <f t="shared" ref="A173:A175" si="50">+A172+0.0001</f>
        <v>1.0702</v>
      </c>
      <c r="B173" s="70" t="s">
        <v>260</v>
      </c>
      <c r="C173" s="71" t="s">
        <v>182</v>
      </c>
      <c r="D173" s="72">
        <v>1</v>
      </c>
      <c r="E173" s="72">
        <f>+E168</f>
        <v>375.11999999999995</v>
      </c>
      <c r="F173" s="72"/>
      <c r="G173" s="72"/>
      <c r="H173" s="72">
        <f t="shared" ref="H173:H174" si="51">D173*E173</f>
        <v>375.11999999999995</v>
      </c>
      <c r="I173" s="68">
        <f t="shared" ref="I173:I174" si="52">H173</f>
        <v>375.11999999999995</v>
      </c>
    </row>
    <row r="174" spans="1:9" x14ac:dyDescent="0.3">
      <c r="A174" s="69">
        <f t="shared" si="50"/>
        <v>1.0703</v>
      </c>
      <c r="B174" s="70" t="s">
        <v>261</v>
      </c>
      <c r="C174" s="71" t="s">
        <v>182</v>
      </c>
      <c r="D174" s="72">
        <v>1</v>
      </c>
      <c r="E174" s="72">
        <f>+E169</f>
        <v>137.45000000000002</v>
      </c>
      <c r="F174" s="72"/>
      <c r="G174" s="72"/>
      <c r="H174" s="72">
        <f t="shared" si="51"/>
        <v>137.45000000000002</v>
      </c>
      <c r="I174" s="68">
        <f t="shared" si="52"/>
        <v>137.45000000000002</v>
      </c>
    </row>
    <row r="175" spans="1:9" x14ac:dyDescent="0.3">
      <c r="A175" s="69">
        <f t="shared" si="50"/>
        <v>1.0704</v>
      </c>
      <c r="B175" s="70" t="s">
        <v>262</v>
      </c>
      <c r="C175" s="71" t="s">
        <v>173</v>
      </c>
      <c r="D175" s="72"/>
      <c r="E175" s="72"/>
      <c r="F175" s="72"/>
      <c r="G175" s="72"/>
      <c r="H175" s="72"/>
      <c r="I175" s="68">
        <f>SUM(H176:H182)</f>
        <v>162</v>
      </c>
    </row>
    <row r="176" spans="1:9" x14ac:dyDescent="0.3">
      <c r="A176" s="69"/>
      <c r="B176" s="164" t="s">
        <v>263</v>
      </c>
      <c r="C176" s="71"/>
      <c r="D176" s="72">
        <f>SUM(D188:D198)</f>
        <v>89</v>
      </c>
      <c r="E176" s="72" t="s">
        <v>264</v>
      </c>
      <c r="F176" s="72">
        <v>3</v>
      </c>
      <c r="G176" s="72"/>
      <c r="H176" s="72">
        <f>ROUND(+D176/F176,0)</f>
        <v>30</v>
      </c>
      <c r="I176" s="68"/>
    </row>
    <row r="177" spans="1:9" x14ac:dyDescent="0.3">
      <c r="A177" s="69"/>
      <c r="B177" s="163" t="s">
        <v>265</v>
      </c>
      <c r="C177" s="71"/>
      <c r="D177" s="72"/>
      <c r="E177" s="72"/>
      <c r="F177" s="72"/>
      <c r="G177" s="72"/>
      <c r="H177" s="72"/>
      <c r="I177" s="68"/>
    </row>
    <row r="178" spans="1:9" x14ac:dyDescent="0.3">
      <c r="A178" s="69"/>
      <c r="B178" s="164" t="s">
        <v>347</v>
      </c>
      <c r="C178" s="71"/>
      <c r="D178" s="72">
        <f>I50</f>
        <v>2183.5300000000002</v>
      </c>
      <c r="E178" s="72" t="s">
        <v>264</v>
      </c>
      <c r="F178" s="72">
        <v>40</v>
      </c>
      <c r="G178" s="72"/>
      <c r="H178" s="72">
        <f>ROUND(+D178/F178,0)</f>
        <v>55</v>
      </c>
      <c r="I178" s="68"/>
    </row>
    <row r="179" spans="1:9" x14ac:dyDescent="0.3">
      <c r="A179" s="69"/>
      <c r="B179" s="164" t="s">
        <v>266</v>
      </c>
      <c r="C179" s="71"/>
      <c r="D179" s="72">
        <f>I51</f>
        <v>2127.84</v>
      </c>
      <c r="E179" s="72" t="s">
        <v>264</v>
      </c>
      <c r="F179" s="72">
        <v>60</v>
      </c>
      <c r="G179" s="72"/>
      <c r="H179" s="72">
        <f t="shared" ref="H179" si="53">ROUND(+D179/F179,0)</f>
        <v>35</v>
      </c>
      <c r="I179" s="68"/>
    </row>
    <row r="180" spans="1:9" x14ac:dyDescent="0.3">
      <c r="A180" s="69"/>
      <c r="B180" s="163" t="s">
        <v>267</v>
      </c>
      <c r="C180" s="71"/>
      <c r="D180" s="72"/>
      <c r="E180" s="72"/>
      <c r="F180" s="72"/>
      <c r="G180" s="72"/>
      <c r="H180" s="72"/>
      <c r="I180" s="68"/>
    </row>
    <row r="181" spans="1:9" x14ac:dyDescent="0.3">
      <c r="A181" s="69"/>
      <c r="B181" s="164" t="s">
        <v>347</v>
      </c>
      <c r="C181" s="71"/>
      <c r="D181" s="72">
        <f>I221</f>
        <v>1430.71</v>
      </c>
      <c r="E181" s="72" t="s">
        <v>264</v>
      </c>
      <c r="F181" s="72">
        <v>40</v>
      </c>
      <c r="G181" s="72"/>
      <c r="H181" s="72">
        <f>ROUND(+D181/F181,0)</f>
        <v>36</v>
      </c>
      <c r="I181" s="68"/>
    </row>
    <row r="182" spans="1:9" x14ac:dyDescent="0.3">
      <c r="A182" s="69"/>
      <c r="B182" s="164" t="s">
        <v>266</v>
      </c>
      <c r="C182" s="71"/>
      <c r="D182" s="72">
        <f>I222</f>
        <v>388</v>
      </c>
      <c r="E182" s="72" t="s">
        <v>264</v>
      </c>
      <c r="F182" s="72">
        <v>60</v>
      </c>
      <c r="G182" s="72"/>
      <c r="H182" s="72">
        <f>ROUND(+D182/F182,0)</f>
        <v>6</v>
      </c>
      <c r="I182" s="68"/>
    </row>
    <row r="183" spans="1:9" x14ac:dyDescent="0.3">
      <c r="A183" s="215"/>
      <c r="B183" s="70"/>
      <c r="C183" s="71"/>
      <c r="D183" s="72"/>
      <c r="E183" s="72"/>
      <c r="F183" s="72"/>
      <c r="G183" s="72"/>
      <c r="H183" s="72"/>
      <c r="I183" s="68"/>
    </row>
    <row r="184" spans="1:9" x14ac:dyDescent="0.3">
      <c r="A184" s="69">
        <f>+A175+0.0001</f>
        <v>1.0705</v>
      </c>
      <c r="B184" s="70" t="s">
        <v>268</v>
      </c>
      <c r="C184" s="71" t="s">
        <v>173</v>
      </c>
      <c r="D184" s="72"/>
      <c r="E184" s="72"/>
      <c r="F184" s="72"/>
      <c r="G184" s="72"/>
      <c r="H184" s="72"/>
      <c r="I184" s="68">
        <f>+H185</f>
        <v>73</v>
      </c>
    </row>
    <row r="185" spans="1:9" x14ac:dyDescent="0.3">
      <c r="A185" s="215"/>
      <c r="B185" s="70" t="s">
        <v>269</v>
      </c>
      <c r="C185" s="71"/>
      <c r="D185" s="72">
        <f>ROUND((E172+E173+E174)/50,0)</f>
        <v>73</v>
      </c>
      <c r="E185" s="72"/>
      <c r="F185" s="72"/>
      <c r="G185" s="72"/>
      <c r="H185" s="72">
        <f>+D185</f>
        <v>73</v>
      </c>
      <c r="I185" s="68"/>
    </row>
    <row r="186" spans="1:9" x14ac:dyDescent="0.3">
      <c r="A186" s="215"/>
      <c r="B186" s="70"/>
      <c r="C186" s="71"/>
      <c r="D186" s="72"/>
      <c r="E186" s="72"/>
      <c r="F186" s="72"/>
      <c r="G186" s="72"/>
      <c r="H186" s="72"/>
      <c r="I186" s="68"/>
    </row>
    <row r="187" spans="1:9" x14ac:dyDescent="0.3">
      <c r="A187" s="210">
        <f>+A171+0.01</f>
        <v>1.08</v>
      </c>
      <c r="B187" s="211" t="s">
        <v>196</v>
      </c>
      <c r="C187" s="212"/>
      <c r="D187" s="213"/>
      <c r="E187" s="213"/>
      <c r="F187" s="213"/>
      <c r="G187" s="213"/>
      <c r="H187" s="213"/>
      <c r="I187" s="68"/>
    </row>
    <row r="188" spans="1:9" x14ac:dyDescent="0.3">
      <c r="A188" s="69">
        <f>+A187+0.0001</f>
        <v>1.0801000000000001</v>
      </c>
      <c r="B188" s="70" t="s">
        <v>665</v>
      </c>
      <c r="C188" s="71" t="s">
        <v>173</v>
      </c>
      <c r="D188" s="72">
        <f>'METRADO DE BUZONES'!G114</f>
        <v>14</v>
      </c>
      <c r="E188" s="72"/>
      <c r="F188" s="72"/>
      <c r="G188" s="72"/>
      <c r="H188" s="72">
        <f t="shared" ref="H188:H202" si="54">D188</f>
        <v>14</v>
      </c>
      <c r="I188" s="68">
        <f t="shared" ref="I188:I202" si="55">H188</f>
        <v>14</v>
      </c>
    </row>
    <row r="189" spans="1:9" x14ac:dyDescent="0.3">
      <c r="A189" s="69">
        <f t="shared" ref="A189:A202" si="56">+A188+0.0001</f>
        <v>1.0802</v>
      </c>
      <c r="B189" s="70" t="s">
        <v>666</v>
      </c>
      <c r="C189" s="71" t="s">
        <v>173</v>
      </c>
      <c r="D189" s="72">
        <f>'METRADO DE BUZONES'!G115</f>
        <v>13</v>
      </c>
      <c r="E189" s="72"/>
      <c r="F189" s="72"/>
      <c r="G189" s="72"/>
      <c r="H189" s="72">
        <f t="shared" si="54"/>
        <v>13</v>
      </c>
      <c r="I189" s="68">
        <f t="shared" si="55"/>
        <v>13</v>
      </c>
    </row>
    <row r="190" spans="1:9" x14ac:dyDescent="0.3">
      <c r="A190" s="69">
        <f t="shared" si="56"/>
        <v>1.0803</v>
      </c>
      <c r="B190" s="70" t="s">
        <v>667</v>
      </c>
      <c r="C190" s="71" t="s">
        <v>173</v>
      </c>
      <c r="D190" s="72">
        <f>'METRADO DE BUZONES'!G116</f>
        <v>15</v>
      </c>
      <c r="E190" s="72"/>
      <c r="F190" s="72"/>
      <c r="G190" s="72"/>
      <c r="H190" s="72">
        <f t="shared" si="54"/>
        <v>15</v>
      </c>
      <c r="I190" s="68">
        <f t="shared" si="55"/>
        <v>15</v>
      </c>
    </row>
    <row r="191" spans="1:9" x14ac:dyDescent="0.3">
      <c r="A191" s="69">
        <f t="shared" si="56"/>
        <v>1.0804</v>
      </c>
      <c r="B191" s="70" t="s">
        <v>668</v>
      </c>
      <c r="C191" s="71" t="s">
        <v>173</v>
      </c>
      <c r="D191" s="72">
        <f>'METRADO DE BUZONES'!G117</f>
        <v>17</v>
      </c>
      <c r="E191" s="72"/>
      <c r="F191" s="72"/>
      <c r="G191" s="72"/>
      <c r="H191" s="72">
        <f t="shared" si="54"/>
        <v>17</v>
      </c>
      <c r="I191" s="68">
        <f t="shared" si="55"/>
        <v>17</v>
      </c>
    </row>
    <row r="192" spans="1:9" x14ac:dyDescent="0.3">
      <c r="A192" s="69">
        <f t="shared" si="56"/>
        <v>1.0805</v>
      </c>
      <c r="B192" s="70" t="s">
        <v>669</v>
      </c>
      <c r="C192" s="71" t="s">
        <v>173</v>
      </c>
      <c r="D192" s="72">
        <f>'METRADO DE BUZONES'!G118</f>
        <v>14</v>
      </c>
      <c r="E192" s="72"/>
      <c r="F192" s="72"/>
      <c r="G192" s="72"/>
      <c r="H192" s="72">
        <f t="shared" si="54"/>
        <v>14</v>
      </c>
      <c r="I192" s="68">
        <f t="shared" si="55"/>
        <v>14</v>
      </c>
    </row>
    <row r="193" spans="1:9" x14ac:dyDescent="0.3">
      <c r="A193" s="69">
        <f t="shared" si="56"/>
        <v>1.0806</v>
      </c>
      <c r="B193" s="70" t="s">
        <v>670</v>
      </c>
      <c r="C193" s="71" t="s">
        <v>173</v>
      </c>
      <c r="D193" s="72">
        <f>'METRADO DE BUZONES'!G119</f>
        <v>4</v>
      </c>
      <c r="E193" s="72"/>
      <c r="F193" s="72"/>
      <c r="G193" s="72"/>
      <c r="H193" s="72">
        <f t="shared" si="54"/>
        <v>4</v>
      </c>
      <c r="I193" s="68">
        <f t="shared" si="55"/>
        <v>4</v>
      </c>
    </row>
    <row r="194" spans="1:9" x14ac:dyDescent="0.3">
      <c r="A194" s="69">
        <f t="shared" si="56"/>
        <v>1.0807</v>
      </c>
      <c r="B194" s="70" t="s">
        <v>270</v>
      </c>
      <c r="C194" s="71" t="s">
        <v>173</v>
      </c>
      <c r="D194" s="72">
        <f>'METRADO DE BUZONES'!J114</f>
        <v>5</v>
      </c>
      <c r="E194" s="72"/>
      <c r="F194" s="72"/>
      <c r="G194" s="72"/>
      <c r="H194" s="72">
        <f t="shared" si="54"/>
        <v>5</v>
      </c>
      <c r="I194" s="68">
        <f t="shared" si="55"/>
        <v>5</v>
      </c>
    </row>
    <row r="195" spans="1:9" x14ac:dyDescent="0.3">
      <c r="A195" s="69">
        <f t="shared" si="56"/>
        <v>1.0808</v>
      </c>
      <c r="B195" s="70" t="s">
        <v>271</v>
      </c>
      <c r="C195" s="71" t="s">
        <v>173</v>
      </c>
      <c r="D195" s="72">
        <f>'METRADO DE BUZONES'!J115</f>
        <v>3</v>
      </c>
      <c r="E195" s="72"/>
      <c r="F195" s="72"/>
      <c r="G195" s="72"/>
      <c r="H195" s="72">
        <f t="shared" si="54"/>
        <v>3</v>
      </c>
      <c r="I195" s="68">
        <f t="shared" si="55"/>
        <v>3</v>
      </c>
    </row>
    <row r="196" spans="1:9" x14ac:dyDescent="0.3">
      <c r="A196" s="69">
        <f t="shared" si="56"/>
        <v>1.0809</v>
      </c>
      <c r="B196" s="70" t="s">
        <v>272</v>
      </c>
      <c r="C196" s="71" t="s">
        <v>173</v>
      </c>
      <c r="D196" s="72">
        <f>'METRADO DE BUZONES'!J116</f>
        <v>1</v>
      </c>
      <c r="E196" s="72"/>
      <c r="F196" s="72"/>
      <c r="G196" s="72"/>
      <c r="H196" s="72">
        <f t="shared" si="54"/>
        <v>1</v>
      </c>
      <c r="I196" s="68">
        <f t="shared" si="55"/>
        <v>1</v>
      </c>
    </row>
    <row r="197" spans="1:9" x14ac:dyDescent="0.3">
      <c r="A197" s="69">
        <f t="shared" si="56"/>
        <v>1.081</v>
      </c>
      <c r="B197" s="70" t="s">
        <v>273</v>
      </c>
      <c r="C197" s="71" t="s">
        <v>173</v>
      </c>
      <c r="D197" s="72">
        <f>'METRADO DE BUZONES'!J117</f>
        <v>2</v>
      </c>
      <c r="E197" s="72"/>
      <c r="F197" s="72"/>
      <c r="G197" s="72"/>
      <c r="H197" s="72">
        <f t="shared" si="54"/>
        <v>2</v>
      </c>
      <c r="I197" s="68">
        <f t="shared" si="55"/>
        <v>2</v>
      </c>
    </row>
    <row r="198" spans="1:9" x14ac:dyDescent="0.3">
      <c r="A198" s="69">
        <f t="shared" si="56"/>
        <v>1.0810999999999999</v>
      </c>
      <c r="B198" s="70" t="s">
        <v>274</v>
      </c>
      <c r="C198" s="71" t="s">
        <v>173</v>
      </c>
      <c r="D198" s="72">
        <f>'METRADO DE BUZONES'!J118</f>
        <v>1</v>
      </c>
      <c r="E198" s="72"/>
      <c r="F198" s="72"/>
      <c r="G198" s="72"/>
      <c r="H198" s="72">
        <f t="shared" si="54"/>
        <v>1</v>
      </c>
      <c r="I198" s="68">
        <f t="shared" si="55"/>
        <v>1</v>
      </c>
    </row>
    <row r="199" spans="1:9" x14ac:dyDescent="0.3">
      <c r="A199" s="69">
        <f t="shared" si="56"/>
        <v>1.0811999999999999</v>
      </c>
      <c r="B199" s="70" t="s">
        <v>275</v>
      </c>
      <c r="C199" s="71" t="s">
        <v>173</v>
      </c>
      <c r="D199" s="72">
        <f>'METRADO DE ZANJA Y TUBERIA'!C144</f>
        <v>9</v>
      </c>
      <c r="E199" s="72"/>
      <c r="F199" s="72"/>
      <c r="G199" s="72"/>
      <c r="H199" s="72">
        <f t="shared" si="54"/>
        <v>9</v>
      </c>
      <c r="I199" s="68">
        <f t="shared" si="55"/>
        <v>9</v>
      </c>
    </row>
    <row r="200" spans="1:9" x14ac:dyDescent="0.3">
      <c r="A200" s="69">
        <f t="shared" si="56"/>
        <v>1.0812999999999999</v>
      </c>
      <c r="B200" s="70" t="s">
        <v>349</v>
      </c>
      <c r="C200" s="71" t="s">
        <v>173</v>
      </c>
      <c r="D200" s="72">
        <f>'METRADO DE ZANJA Y TUBERIA'!C145</f>
        <v>1</v>
      </c>
      <c r="E200" s="72"/>
      <c r="F200" s="72"/>
      <c r="G200" s="72"/>
      <c r="H200" s="72">
        <f t="shared" ref="H200" si="57">D200</f>
        <v>1</v>
      </c>
      <c r="I200" s="68">
        <f t="shared" ref="I200" si="58">H200</f>
        <v>1</v>
      </c>
    </row>
    <row r="201" spans="1:9" x14ac:dyDescent="0.3">
      <c r="A201" s="69">
        <f t="shared" si="56"/>
        <v>1.0813999999999999</v>
      </c>
      <c r="B201" s="70" t="s">
        <v>276</v>
      </c>
      <c r="C201" s="71" t="s">
        <v>173</v>
      </c>
      <c r="D201" s="72">
        <f>'METRADO DE ZANJA Y TUBERIA'!A149</f>
        <v>150</v>
      </c>
      <c r="E201" s="72"/>
      <c r="F201" s="72"/>
      <c r="G201" s="72"/>
      <c r="H201" s="72">
        <f t="shared" si="54"/>
        <v>150</v>
      </c>
      <c r="I201" s="68">
        <f t="shared" si="55"/>
        <v>150</v>
      </c>
    </row>
    <row r="202" spans="1:9" x14ac:dyDescent="0.3">
      <c r="A202" s="69">
        <f t="shared" si="56"/>
        <v>1.0814999999999999</v>
      </c>
      <c r="B202" s="70" t="s">
        <v>277</v>
      </c>
      <c r="C202" s="71" t="s">
        <v>173</v>
      </c>
      <c r="D202" s="72">
        <f>'METRADO DE ZANJA Y TUBERIA'!B149</f>
        <v>20</v>
      </c>
      <c r="E202" s="72"/>
      <c r="F202" s="72"/>
      <c r="G202" s="72"/>
      <c r="H202" s="72">
        <f t="shared" si="54"/>
        <v>20</v>
      </c>
      <c r="I202" s="68">
        <f t="shared" si="55"/>
        <v>20</v>
      </c>
    </row>
    <row r="203" spans="1:9" x14ac:dyDescent="0.3">
      <c r="A203" s="215"/>
      <c r="B203" s="70"/>
      <c r="C203" s="71"/>
      <c r="D203" s="72"/>
      <c r="E203" s="72"/>
      <c r="F203" s="72"/>
      <c r="G203" s="72"/>
      <c r="H203" s="72"/>
      <c r="I203" s="68"/>
    </row>
    <row r="204" spans="1:9" x14ac:dyDescent="0.3">
      <c r="A204" s="205">
        <f>+A7+1</f>
        <v>2</v>
      </c>
      <c r="B204" s="239" t="s">
        <v>278</v>
      </c>
      <c r="C204" s="212"/>
      <c r="D204" s="213"/>
      <c r="E204" s="213"/>
      <c r="F204" s="213"/>
      <c r="G204" s="213"/>
      <c r="H204" s="213"/>
      <c r="I204" s="68"/>
    </row>
    <row r="205" spans="1:9" x14ac:dyDescent="0.3">
      <c r="A205" s="210">
        <f>+A204+0.01</f>
        <v>2.0099999999999998</v>
      </c>
      <c r="B205" s="211" t="s">
        <v>671</v>
      </c>
      <c r="C205" s="212"/>
      <c r="D205" s="213"/>
      <c r="E205" s="213"/>
      <c r="F205" s="213"/>
      <c r="G205" s="213"/>
      <c r="H205" s="213"/>
      <c r="I205" s="68"/>
    </row>
    <row r="206" spans="1:9" x14ac:dyDescent="0.3">
      <c r="A206" s="69">
        <f>+A205+0.0001</f>
        <v>2.0101</v>
      </c>
      <c r="B206" s="70" t="s">
        <v>279</v>
      </c>
      <c r="C206" s="71" t="s">
        <v>173</v>
      </c>
      <c r="D206" s="72">
        <f>'CUADRO DE CONEX DOMICILIARIAS'!H498</f>
        <v>485</v>
      </c>
      <c r="E206" s="72"/>
      <c r="F206" s="72"/>
      <c r="G206" s="72"/>
      <c r="H206" s="72">
        <f t="shared" ref="H206:H209" si="59">ROUND(PRODUCT(D206:G206),2)</f>
        <v>485</v>
      </c>
      <c r="I206" s="68">
        <f t="shared" ref="I206:I209" si="60">H206</f>
        <v>485</v>
      </c>
    </row>
    <row r="207" spans="1:9" x14ac:dyDescent="0.3">
      <c r="A207" s="69">
        <f t="shared" ref="A207:A210" si="61">+A206+0.0001</f>
        <v>2.0102000000000002</v>
      </c>
      <c r="B207" s="70" t="s">
        <v>280</v>
      </c>
      <c r="C207" s="71" t="s">
        <v>173</v>
      </c>
      <c r="D207" s="72">
        <f>+D206</f>
        <v>485</v>
      </c>
      <c r="E207" s="72"/>
      <c r="F207" s="72"/>
      <c r="G207" s="72"/>
      <c r="H207" s="72">
        <f t="shared" si="59"/>
        <v>485</v>
      </c>
      <c r="I207" s="68">
        <f t="shared" si="60"/>
        <v>485</v>
      </c>
    </row>
    <row r="208" spans="1:9" x14ac:dyDescent="0.3">
      <c r="A208" s="69">
        <f t="shared" si="61"/>
        <v>2.0103000000000004</v>
      </c>
      <c r="B208" s="70" t="s">
        <v>687</v>
      </c>
      <c r="C208" s="71" t="s">
        <v>173</v>
      </c>
      <c r="D208" s="72">
        <f>'MET. DE INTERFERENCIAS'!C173</f>
        <v>561</v>
      </c>
      <c r="E208" s="72"/>
      <c r="F208" s="72"/>
      <c r="G208" s="72"/>
      <c r="H208" s="72">
        <f t="shared" si="59"/>
        <v>561</v>
      </c>
      <c r="I208" s="68">
        <f t="shared" si="60"/>
        <v>561</v>
      </c>
    </row>
    <row r="209" spans="1:9" x14ac:dyDescent="0.3">
      <c r="A209" s="69">
        <f t="shared" si="61"/>
        <v>2.0104000000000006</v>
      </c>
      <c r="B209" s="70" t="s">
        <v>186</v>
      </c>
      <c r="C209" s="71" t="s">
        <v>182</v>
      </c>
      <c r="D209" s="72">
        <v>2</v>
      </c>
      <c r="E209" s="72">
        <f>'CUADRO DE CONEX DOMICILIARIAS'!H510</f>
        <v>1818.7100000000019</v>
      </c>
      <c r="F209" s="72"/>
      <c r="G209" s="72"/>
      <c r="H209" s="72">
        <f t="shared" si="59"/>
        <v>3637.42</v>
      </c>
      <c r="I209" s="68">
        <f t="shared" si="60"/>
        <v>3637.42</v>
      </c>
    </row>
    <row r="210" spans="1:9" x14ac:dyDescent="0.3">
      <c r="A210" s="69">
        <f t="shared" si="61"/>
        <v>2.0105000000000008</v>
      </c>
      <c r="B210" s="70" t="s">
        <v>181</v>
      </c>
      <c r="C210" s="71" t="s">
        <v>182</v>
      </c>
      <c r="D210" s="72">
        <v>1</v>
      </c>
      <c r="E210" s="72">
        <f>+E209</f>
        <v>1818.7100000000019</v>
      </c>
      <c r="F210" s="72"/>
      <c r="G210" s="72"/>
      <c r="H210" s="72">
        <f>ROUND(PRODUCT(D210:G210),2)</f>
        <v>1818.71</v>
      </c>
      <c r="I210" s="68">
        <f>H210</f>
        <v>1818.71</v>
      </c>
    </row>
    <row r="211" spans="1:9" x14ac:dyDescent="0.3">
      <c r="A211" s="215"/>
      <c r="B211" s="70"/>
      <c r="C211" s="71"/>
      <c r="D211" s="72"/>
      <c r="E211" s="72"/>
      <c r="F211" s="72"/>
      <c r="G211" s="72"/>
      <c r="H211" s="72"/>
      <c r="I211" s="68"/>
    </row>
    <row r="212" spans="1:9" x14ac:dyDescent="0.3">
      <c r="A212" s="210">
        <f>+A205+0.01</f>
        <v>2.0199999999999996</v>
      </c>
      <c r="B212" s="211" t="s">
        <v>191</v>
      </c>
      <c r="C212" s="212"/>
      <c r="D212" s="213"/>
      <c r="E212" s="72"/>
      <c r="F212" s="213"/>
      <c r="G212" s="213"/>
      <c r="H212" s="213"/>
      <c r="I212" s="68"/>
    </row>
    <row r="213" spans="1:9" x14ac:dyDescent="0.3">
      <c r="A213" s="69">
        <f>+A212+0.0001</f>
        <v>2.0200999999999998</v>
      </c>
      <c r="B213" s="70" t="s">
        <v>281</v>
      </c>
      <c r="C213" s="71" t="s">
        <v>173</v>
      </c>
      <c r="D213" s="72">
        <f>'CUADRO DE CONEX DOMICILIARIAS'!J519</f>
        <v>27</v>
      </c>
      <c r="E213" s="72"/>
      <c r="F213" s="72"/>
      <c r="G213" s="72"/>
      <c r="H213" s="72">
        <f t="shared" ref="H213" si="62">ROUND(PRODUCT(D213:G213),2)</f>
        <v>27</v>
      </c>
      <c r="I213" s="68">
        <f t="shared" ref="I213:I252" si="63">H213</f>
        <v>27</v>
      </c>
    </row>
    <row r="214" spans="1:9" x14ac:dyDescent="0.3">
      <c r="A214" s="69">
        <f>+A213+0.0001</f>
        <v>2.0202</v>
      </c>
      <c r="B214" s="70" t="s">
        <v>655</v>
      </c>
      <c r="C214" s="71" t="s">
        <v>197</v>
      </c>
      <c r="D214" s="72"/>
      <c r="E214" s="72"/>
      <c r="F214" s="72"/>
      <c r="G214" s="72"/>
      <c r="H214" s="72"/>
      <c r="I214" s="68">
        <f>SUM(H215:H218)</f>
        <v>4.8599999999999994</v>
      </c>
    </row>
    <row r="215" spans="1:9" x14ac:dyDescent="0.3">
      <c r="A215" s="69"/>
      <c r="B215" s="240" t="s">
        <v>282</v>
      </c>
      <c r="C215" s="71"/>
      <c r="D215" s="72">
        <f>+D213</f>
        <v>27</v>
      </c>
      <c r="E215" s="72">
        <v>0.6</v>
      </c>
      <c r="F215" s="72">
        <v>0.3</v>
      </c>
      <c r="G215" s="72">
        <v>0.05</v>
      </c>
      <c r="H215" s="72">
        <f t="shared" ref="H215:H223" si="64">ROUND(PRODUCT(D215:G215),2)</f>
        <v>0.24</v>
      </c>
      <c r="I215" s="68"/>
    </row>
    <row r="216" spans="1:9" x14ac:dyDescent="0.3">
      <c r="A216" s="69"/>
      <c r="B216" s="240" t="s">
        <v>283</v>
      </c>
      <c r="C216" s="71"/>
      <c r="D216" s="72">
        <f>+D215</f>
        <v>27</v>
      </c>
      <c r="E216" s="72">
        <v>0.6</v>
      </c>
      <c r="F216" s="72">
        <v>0.3</v>
      </c>
      <c r="G216" s="72">
        <v>0.15</v>
      </c>
      <c r="H216" s="72">
        <f t="shared" si="64"/>
        <v>0.73</v>
      </c>
      <c r="I216" s="68"/>
    </row>
    <row r="217" spans="1:9" x14ac:dyDescent="0.3">
      <c r="A217" s="69"/>
      <c r="B217" s="240" t="s">
        <v>242</v>
      </c>
      <c r="C217" s="71">
        <v>2</v>
      </c>
      <c r="D217" s="72">
        <f>'CUADRO DE CONEX DOMICILIARIAS'!J513</f>
        <v>27</v>
      </c>
      <c r="E217" s="72">
        <v>0.6</v>
      </c>
      <c r="F217" s="72">
        <v>0.1</v>
      </c>
      <c r="G217" s="72">
        <v>0.8</v>
      </c>
      <c r="H217" s="72">
        <f>ROUND(PRODUCT(C217:G217),2)</f>
        <v>2.59</v>
      </c>
      <c r="I217" s="68"/>
    </row>
    <row r="218" spans="1:9" x14ac:dyDescent="0.3">
      <c r="A218" s="69"/>
      <c r="B218" s="240"/>
      <c r="C218" s="71">
        <v>2</v>
      </c>
      <c r="D218" s="72">
        <f>+D217</f>
        <v>27</v>
      </c>
      <c r="E218" s="72">
        <v>0.3</v>
      </c>
      <c r="F218" s="72">
        <v>0.1</v>
      </c>
      <c r="G218" s="72">
        <f>+G217</f>
        <v>0.8</v>
      </c>
      <c r="H218" s="72">
        <f>ROUND(PRODUCT(C218:G218),2)</f>
        <v>1.3</v>
      </c>
      <c r="I218" s="68"/>
    </row>
    <row r="219" spans="1:9" x14ac:dyDescent="0.3">
      <c r="A219" s="69"/>
      <c r="B219" s="70"/>
      <c r="C219" s="71"/>
      <c r="D219" s="72"/>
      <c r="E219" s="72"/>
      <c r="F219" s="72"/>
      <c r="G219" s="72"/>
      <c r="H219" s="72"/>
      <c r="I219" s="68"/>
    </row>
    <row r="220" spans="1:9" x14ac:dyDescent="0.3">
      <c r="A220" s="69">
        <f>+A214+0.0001</f>
        <v>2.0203000000000002</v>
      </c>
      <c r="B220" s="70" t="s">
        <v>672</v>
      </c>
      <c r="C220" s="71" t="s">
        <v>182</v>
      </c>
      <c r="D220" s="72">
        <v>1</v>
      </c>
      <c r="E220" s="72">
        <f>+I210</f>
        <v>1818.71</v>
      </c>
      <c r="F220" s="72"/>
      <c r="G220" s="72"/>
      <c r="H220" s="72">
        <f t="shared" si="64"/>
        <v>1818.71</v>
      </c>
      <c r="I220" s="68">
        <f t="shared" si="63"/>
        <v>1818.71</v>
      </c>
    </row>
    <row r="221" spans="1:9" x14ac:dyDescent="0.3">
      <c r="A221" s="69">
        <f>+A220+0.0001</f>
        <v>2.0204000000000004</v>
      </c>
      <c r="B221" s="70" t="s">
        <v>647</v>
      </c>
      <c r="C221" s="71" t="s">
        <v>193</v>
      </c>
      <c r="D221" s="72">
        <v>1</v>
      </c>
      <c r="E221" s="72">
        <f>'CUADRO DE CONEX DOMICILIARIAS'!J505</f>
        <v>1430.7100000000012</v>
      </c>
      <c r="F221" s="72">
        <v>1</v>
      </c>
      <c r="G221" s="72"/>
      <c r="H221" s="72">
        <f t="shared" si="64"/>
        <v>1430.71</v>
      </c>
      <c r="I221" s="68">
        <f t="shared" si="63"/>
        <v>1430.71</v>
      </c>
    </row>
    <row r="222" spans="1:9" x14ac:dyDescent="0.3">
      <c r="A222" s="69">
        <f t="shared" ref="A222:A223" si="65">+A221+0.0001</f>
        <v>2.0205000000000006</v>
      </c>
      <c r="B222" s="70" t="s">
        <v>673</v>
      </c>
      <c r="C222" s="71" t="s">
        <v>193</v>
      </c>
      <c r="D222" s="72">
        <v>1</v>
      </c>
      <c r="E222" s="72">
        <f>'CUADRO DE CONEX DOMICILIARIAS'!J506</f>
        <v>388</v>
      </c>
      <c r="F222" s="72">
        <v>1</v>
      </c>
      <c r="G222" s="72"/>
      <c r="H222" s="72">
        <f t="shared" si="64"/>
        <v>388</v>
      </c>
      <c r="I222" s="68">
        <f t="shared" ref="I222" si="66">H222</f>
        <v>388</v>
      </c>
    </row>
    <row r="223" spans="1:9" x14ac:dyDescent="0.3">
      <c r="A223" s="69">
        <f t="shared" si="65"/>
        <v>2.0206000000000008</v>
      </c>
      <c r="B223" s="70" t="s">
        <v>674</v>
      </c>
      <c r="C223" s="71" t="s">
        <v>193</v>
      </c>
      <c r="D223" s="72">
        <f>+D213</f>
        <v>27</v>
      </c>
      <c r="E223" s="72">
        <v>1.25</v>
      </c>
      <c r="F223" s="72">
        <v>0.99831000000000003</v>
      </c>
      <c r="G223" s="72"/>
      <c r="H223" s="72">
        <f t="shared" si="64"/>
        <v>33.69</v>
      </c>
      <c r="I223" s="68">
        <f t="shared" si="63"/>
        <v>33.69</v>
      </c>
    </row>
    <row r="224" spans="1:9" x14ac:dyDescent="0.3">
      <c r="A224" s="215"/>
      <c r="B224" s="217"/>
      <c r="C224" s="71"/>
      <c r="D224" s="72"/>
      <c r="E224" s="72"/>
      <c r="F224" s="72"/>
      <c r="G224" s="72"/>
      <c r="H224" s="72"/>
      <c r="I224" s="68"/>
    </row>
    <row r="225" spans="1:9" x14ac:dyDescent="0.3">
      <c r="A225" s="210">
        <f>+A212+0.01</f>
        <v>2.0299999999999994</v>
      </c>
      <c r="B225" s="211" t="s">
        <v>202</v>
      </c>
      <c r="C225" s="212"/>
      <c r="D225" s="213"/>
      <c r="E225" s="213"/>
      <c r="F225" s="213"/>
      <c r="G225" s="213"/>
      <c r="H225" s="72"/>
      <c r="I225" s="68"/>
    </row>
    <row r="226" spans="1:9" x14ac:dyDescent="0.3">
      <c r="A226" s="69">
        <f>+A225+0.0001</f>
        <v>2.0300999999999996</v>
      </c>
      <c r="B226" s="70" t="s">
        <v>284</v>
      </c>
      <c r="C226" s="71" t="s">
        <v>182</v>
      </c>
      <c r="D226" s="72">
        <v>1</v>
      </c>
      <c r="E226" s="72">
        <f>'CUADRO DE CONEX DOMICILIARIAS'!H504</f>
        <v>1769.3000000000018</v>
      </c>
      <c r="F226" s="72"/>
      <c r="G226" s="72"/>
      <c r="H226" s="72">
        <f t="shared" ref="H226:H253" si="67">ROUND(PRODUCT(D226:G226),2)</f>
        <v>1769.3</v>
      </c>
      <c r="I226" s="68">
        <f t="shared" si="63"/>
        <v>1769.3</v>
      </c>
    </row>
    <row r="227" spans="1:9" x14ac:dyDescent="0.3">
      <c r="A227" s="69">
        <f t="shared" ref="A227:A231" si="68">+A226+0.0001</f>
        <v>2.0301999999999998</v>
      </c>
      <c r="B227" s="70" t="s">
        <v>285</v>
      </c>
      <c r="C227" s="71" t="s">
        <v>182</v>
      </c>
      <c r="D227" s="72">
        <v>1</v>
      </c>
      <c r="E227" s="72">
        <f>'CUADRO DE CONEX DOMICILIARIAS'!H505</f>
        <v>49.410000000000011</v>
      </c>
      <c r="F227" s="72"/>
      <c r="G227" s="72"/>
      <c r="H227" s="72">
        <f t="shared" si="67"/>
        <v>49.41</v>
      </c>
      <c r="I227" s="68">
        <f t="shared" si="63"/>
        <v>49.41</v>
      </c>
    </row>
    <row r="228" spans="1:9" x14ac:dyDescent="0.3">
      <c r="A228" s="69">
        <f t="shared" si="68"/>
        <v>2.0303</v>
      </c>
      <c r="B228" s="70" t="s">
        <v>286</v>
      </c>
      <c r="C228" s="71" t="s">
        <v>182</v>
      </c>
      <c r="D228" s="72">
        <v>1</v>
      </c>
      <c r="E228" s="72">
        <f>SUM(E226:E227)</f>
        <v>1818.7100000000019</v>
      </c>
      <c r="F228" s="72"/>
      <c r="G228" s="72"/>
      <c r="H228" s="72">
        <f t="shared" si="67"/>
        <v>1818.71</v>
      </c>
      <c r="I228" s="68">
        <f t="shared" si="63"/>
        <v>1818.71</v>
      </c>
    </row>
    <row r="229" spans="1:9" x14ac:dyDescent="0.3">
      <c r="A229" s="69">
        <f t="shared" si="68"/>
        <v>2.0304000000000002</v>
      </c>
      <c r="B229" s="70" t="s">
        <v>287</v>
      </c>
      <c r="C229" s="71" t="s">
        <v>182</v>
      </c>
      <c r="D229" s="72">
        <v>1</v>
      </c>
      <c r="E229" s="72">
        <f>+E226</f>
        <v>1769.3000000000018</v>
      </c>
      <c r="F229" s="72"/>
      <c r="G229" s="72"/>
      <c r="H229" s="72">
        <f t="shared" si="67"/>
        <v>1769.3</v>
      </c>
      <c r="I229" s="68">
        <f t="shared" si="63"/>
        <v>1769.3</v>
      </c>
    </row>
    <row r="230" spans="1:9" x14ac:dyDescent="0.3">
      <c r="A230" s="69">
        <f t="shared" si="68"/>
        <v>2.0305000000000004</v>
      </c>
      <c r="B230" s="70" t="s">
        <v>288</v>
      </c>
      <c r="C230" s="71" t="s">
        <v>182</v>
      </c>
      <c r="D230" s="72">
        <v>1</v>
      </c>
      <c r="E230" s="72">
        <f>+E227</f>
        <v>49.410000000000011</v>
      </c>
      <c r="F230" s="72"/>
      <c r="G230" s="72"/>
      <c r="H230" s="72">
        <f t="shared" si="67"/>
        <v>49.41</v>
      </c>
      <c r="I230" s="68">
        <f t="shared" si="63"/>
        <v>49.41</v>
      </c>
    </row>
    <row r="231" spans="1:9" x14ac:dyDescent="0.3">
      <c r="A231" s="69">
        <f t="shared" si="68"/>
        <v>2.0306000000000006</v>
      </c>
      <c r="B231" s="70" t="s">
        <v>289</v>
      </c>
      <c r="C231" s="71" t="s">
        <v>182</v>
      </c>
      <c r="D231" s="72">
        <v>1</v>
      </c>
      <c r="E231" s="72">
        <f>+E228</f>
        <v>1818.7100000000019</v>
      </c>
      <c r="F231" s="72"/>
      <c r="G231" s="72"/>
      <c r="H231" s="72">
        <f t="shared" si="67"/>
        <v>1818.71</v>
      </c>
      <c r="I231" s="68">
        <f t="shared" si="63"/>
        <v>1818.71</v>
      </c>
    </row>
    <row r="232" spans="1:9" x14ac:dyDescent="0.3">
      <c r="A232" s="215"/>
      <c r="B232" s="70"/>
      <c r="C232" s="71"/>
      <c r="D232" s="72"/>
      <c r="E232" s="72"/>
      <c r="F232" s="72"/>
      <c r="G232" s="72"/>
      <c r="H232" s="72"/>
      <c r="I232" s="68"/>
    </row>
    <row r="233" spans="1:9" x14ac:dyDescent="0.3">
      <c r="A233" s="210">
        <f>+A225+0.01</f>
        <v>2.0399999999999991</v>
      </c>
      <c r="B233" s="211" t="s">
        <v>290</v>
      </c>
      <c r="C233" s="212"/>
      <c r="D233" s="213"/>
      <c r="E233" s="213"/>
      <c r="F233" s="213"/>
      <c r="G233" s="213"/>
      <c r="H233" s="72"/>
      <c r="I233" s="68"/>
    </row>
    <row r="234" spans="1:9" x14ac:dyDescent="0.3">
      <c r="A234" s="222">
        <f>+A233+0.0001</f>
        <v>2.0400999999999994</v>
      </c>
      <c r="B234" s="223" t="s">
        <v>291</v>
      </c>
      <c r="C234" s="71"/>
      <c r="D234" s="72"/>
      <c r="E234" s="72"/>
      <c r="F234" s="72"/>
      <c r="G234" s="72"/>
      <c r="H234" s="72"/>
      <c r="I234" s="68"/>
    </row>
    <row r="235" spans="1:9" x14ac:dyDescent="0.3">
      <c r="A235" s="167">
        <f>+A234+0.000001</f>
        <v>2.0401009999999995</v>
      </c>
      <c r="B235" s="224" t="s">
        <v>675</v>
      </c>
      <c r="C235" s="71" t="s">
        <v>182</v>
      </c>
      <c r="D235" s="72">
        <v>1</v>
      </c>
      <c r="E235" s="72">
        <f>+E231</f>
        <v>1818.7100000000019</v>
      </c>
      <c r="F235" s="72"/>
      <c r="G235" s="72"/>
      <c r="H235" s="72">
        <f t="shared" si="67"/>
        <v>1818.71</v>
      </c>
      <c r="I235" s="68">
        <f t="shared" si="63"/>
        <v>1818.71</v>
      </c>
    </row>
    <row r="236" spans="1:9" x14ac:dyDescent="0.3">
      <c r="A236" s="167">
        <f t="shared" ref="A236:A244" si="69">+A235+0.000001</f>
        <v>2.0401019999999996</v>
      </c>
      <c r="B236" s="224" t="s">
        <v>676</v>
      </c>
      <c r="C236" s="71" t="s">
        <v>182</v>
      </c>
      <c r="D236" s="72">
        <v>1</v>
      </c>
      <c r="E236" s="72">
        <f>+E235</f>
        <v>1818.7100000000019</v>
      </c>
      <c r="F236" s="72"/>
      <c r="G236" s="72"/>
      <c r="H236" s="72">
        <f t="shared" si="67"/>
        <v>1818.71</v>
      </c>
      <c r="I236" s="68">
        <f t="shared" si="63"/>
        <v>1818.71</v>
      </c>
    </row>
    <row r="237" spans="1:9" x14ac:dyDescent="0.3">
      <c r="A237" s="167">
        <f t="shared" si="69"/>
        <v>2.0401029999999998</v>
      </c>
      <c r="B237" s="224" t="s">
        <v>292</v>
      </c>
      <c r="C237" s="71" t="s">
        <v>173</v>
      </c>
      <c r="D237" s="72">
        <v>348</v>
      </c>
      <c r="E237" s="72"/>
      <c r="F237" s="72"/>
      <c r="G237" s="72"/>
      <c r="H237" s="72">
        <f t="shared" si="67"/>
        <v>348</v>
      </c>
      <c r="I237" s="68">
        <f t="shared" si="63"/>
        <v>348</v>
      </c>
    </row>
    <row r="238" spans="1:9" x14ac:dyDescent="0.3">
      <c r="A238" s="167">
        <f t="shared" si="69"/>
        <v>2.0401039999999999</v>
      </c>
      <c r="B238" s="224" t="s">
        <v>293</v>
      </c>
      <c r="C238" s="71" t="s">
        <v>173</v>
      </c>
      <c r="D238" s="72">
        <v>23</v>
      </c>
      <c r="E238" s="72"/>
      <c r="F238" s="72"/>
      <c r="G238" s="72"/>
      <c r="H238" s="72">
        <f t="shared" si="67"/>
        <v>23</v>
      </c>
      <c r="I238" s="68">
        <f t="shared" si="63"/>
        <v>23</v>
      </c>
    </row>
    <row r="239" spans="1:9" x14ac:dyDescent="0.3">
      <c r="A239" s="167">
        <f t="shared" si="69"/>
        <v>2.0401050000000001</v>
      </c>
      <c r="B239" s="224" t="s">
        <v>294</v>
      </c>
      <c r="C239" s="71" t="s">
        <v>173</v>
      </c>
      <c r="D239" s="72">
        <v>81</v>
      </c>
      <c r="E239" s="72"/>
      <c r="F239" s="72"/>
      <c r="G239" s="72"/>
      <c r="H239" s="72">
        <f t="shared" si="67"/>
        <v>81</v>
      </c>
      <c r="I239" s="68">
        <f t="shared" si="63"/>
        <v>81</v>
      </c>
    </row>
    <row r="240" spans="1:9" x14ac:dyDescent="0.3">
      <c r="A240" s="167">
        <f t="shared" si="69"/>
        <v>2.0401060000000002</v>
      </c>
      <c r="B240" s="224" t="s">
        <v>677</v>
      </c>
      <c r="C240" s="71" t="s">
        <v>173</v>
      </c>
      <c r="D240" s="72">
        <v>7</v>
      </c>
      <c r="E240" s="72"/>
      <c r="F240" s="72"/>
      <c r="G240" s="72"/>
      <c r="H240" s="72">
        <f t="shared" si="67"/>
        <v>7</v>
      </c>
      <c r="I240" s="68">
        <f t="shared" si="63"/>
        <v>7</v>
      </c>
    </row>
    <row r="241" spans="1:9" x14ac:dyDescent="0.3">
      <c r="A241" s="167">
        <f t="shared" si="69"/>
        <v>2.0401070000000003</v>
      </c>
      <c r="B241" s="224" t="s">
        <v>678</v>
      </c>
      <c r="C241" s="71" t="s">
        <v>173</v>
      </c>
      <c r="D241" s="72">
        <v>26</v>
      </c>
      <c r="E241" s="72"/>
      <c r="F241" s="72"/>
      <c r="G241" s="72"/>
      <c r="H241" s="72">
        <f t="shared" si="67"/>
        <v>26</v>
      </c>
      <c r="I241" s="68">
        <f t="shared" si="63"/>
        <v>26</v>
      </c>
    </row>
    <row r="242" spans="1:9" x14ac:dyDescent="0.3">
      <c r="A242" s="167">
        <f t="shared" si="69"/>
        <v>2.0401080000000005</v>
      </c>
      <c r="B242" s="224" t="s">
        <v>295</v>
      </c>
      <c r="C242" s="71" t="s">
        <v>173</v>
      </c>
      <c r="D242" s="72">
        <f>D237+D238</f>
        <v>371</v>
      </c>
      <c r="E242" s="72"/>
      <c r="F242" s="72"/>
      <c r="G242" s="72"/>
      <c r="H242" s="72">
        <f t="shared" si="67"/>
        <v>371</v>
      </c>
      <c r="I242" s="68">
        <f t="shared" si="63"/>
        <v>371</v>
      </c>
    </row>
    <row r="243" spans="1:9" x14ac:dyDescent="0.3">
      <c r="A243" s="167">
        <f t="shared" si="69"/>
        <v>2.0401090000000006</v>
      </c>
      <c r="B243" s="224" t="s">
        <v>296</v>
      </c>
      <c r="C243" s="71" t="s">
        <v>173</v>
      </c>
      <c r="D243" s="72">
        <f>D239</f>
        <v>81</v>
      </c>
      <c r="E243" s="72"/>
      <c r="F243" s="72"/>
      <c r="G243" s="72"/>
      <c r="H243" s="72">
        <f t="shared" si="67"/>
        <v>81</v>
      </c>
      <c r="I243" s="68">
        <f t="shared" si="63"/>
        <v>81</v>
      </c>
    </row>
    <row r="244" spans="1:9" x14ac:dyDescent="0.3">
      <c r="A244" s="167">
        <f t="shared" si="69"/>
        <v>2.0401100000000008</v>
      </c>
      <c r="B244" s="224" t="s">
        <v>679</v>
      </c>
      <c r="C244" s="71" t="s">
        <v>173</v>
      </c>
      <c r="D244" s="72">
        <f>D240+D241</f>
        <v>33</v>
      </c>
      <c r="E244" s="72"/>
      <c r="F244" s="72"/>
      <c r="G244" s="72"/>
      <c r="H244" s="72">
        <f t="shared" si="67"/>
        <v>33</v>
      </c>
      <c r="I244" s="68">
        <f t="shared" si="63"/>
        <v>33</v>
      </c>
    </row>
    <row r="245" spans="1:9" x14ac:dyDescent="0.3">
      <c r="A245" s="69"/>
      <c r="B245" s="70"/>
      <c r="C245" s="71"/>
      <c r="D245" s="72"/>
      <c r="E245" s="72"/>
      <c r="F245" s="72"/>
      <c r="G245" s="72"/>
      <c r="H245" s="72"/>
      <c r="I245" s="68"/>
    </row>
    <row r="246" spans="1:9" x14ac:dyDescent="0.3">
      <c r="A246" s="222">
        <f>+A234+0.0001</f>
        <v>2.0401999999999996</v>
      </c>
      <c r="B246" s="223" t="s">
        <v>297</v>
      </c>
      <c r="C246" s="71"/>
      <c r="D246" s="72"/>
      <c r="E246" s="72"/>
      <c r="F246" s="72"/>
      <c r="G246" s="72"/>
      <c r="H246" s="72"/>
      <c r="I246" s="68"/>
    </row>
    <row r="247" spans="1:9" x14ac:dyDescent="0.3">
      <c r="A247" s="167">
        <f>+A246+0.000001</f>
        <v>2.0402009999999997</v>
      </c>
      <c r="B247" s="224" t="s">
        <v>298</v>
      </c>
      <c r="C247" s="71" t="s">
        <v>173</v>
      </c>
      <c r="D247" s="72">
        <f>'CUADRO DE CONEX DOMICILIARIAS'!H513</f>
        <v>475</v>
      </c>
      <c r="E247" s="72"/>
      <c r="F247" s="72"/>
      <c r="G247" s="72"/>
      <c r="H247" s="72">
        <f t="shared" si="67"/>
        <v>475</v>
      </c>
      <c r="I247" s="68">
        <f t="shared" si="63"/>
        <v>475</v>
      </c>
    </row>
    <row r="248" spans="1:9" x14ac:dyDescent="0.3">
      <c r="A248" s="167">
        <f t="shared" ref="A248:A250" si="70">+A247+0.000001</f>
        <v>2.0402019999999998</v>
      </c>
      <c r="B248" s="224" t="s">
        <v>299</v>
      </c>
      <c r="C248" s="71" t="s">
        <v>173</v>
      </c>
      <c r="D248" s="72">
        <f>'CUADRO DE CONEX DOMICILIARIAS'!H514</f>
        <v>10</v>
      </c>
      <c r="E248" s="72"/>
      <c r="F248" s="72"/>
      <c r="G248" s="72"/>
      <c r="H248" s="72">
        <f t="shared" si="67"/>
        <v>10</v>
      </c>
      <c r="I248" s="68">
        <f t="shared" si="63"/>
        <v>10</v>
      </c>
    </row>
    <row r="249" spans="1:9" x14ac:dyDescent="0.3">
      <c r="A249" s="167">
        <f t="shared" si="70"/>
        <v>2.040203</v>
      </c>
      <c r="B249" s="224" t="s">
        <v>300</v>
      </c>
      <c r="C249" s="71" t="s">
        <v>173</v>
      </c>
      <c r="D249" s="72">
        <f>+D247</f>
        <v>475</v>
      </c>
      <c r="E249" s="72"/>
      <c r="F249" s="72"/>
      <c r="G249" s="72"/>
      <c r="H249" s="72">
        <f t="shared" si="67"/>
        <v>475</v>
      </c>
      <c r="I249" s="68">
        <f t="shared" si="63"/>
        <v>475</v>
      </c>
    </row>
    <row r="250" spans="1:9" x14ac:dyDescent="0.3">
      <c r="A250" s="167">
        <f t="shared" si="70"/>
        <v>2.0402040000000001</v>
      </c>
      <c r="B250" s="224" t="s">
        <v>301</v>
      </c>
      <c r="C250" s="71" t="s">
        <v>173</v>
      </c>
      <c r="D250" s="72">
        <f>+D248</f>
        <v>10</v>
      </c>
      <c r="E250" s="72"/>
      <c r="F250" s="72"/>
      <c r="G250" s="72"/>
      <c r="H250" s="72">
        <f t="shared" si="67"/>
        <v>10</v>
      </c>
      <c r="I250" s="68">
        <f t="shared" si="63"/>
        <v>10</v>
      </c>
    </row>
    <row r="251" spans="1:9" x14ac:dyDescent="0.3">
      <c r="A251" s="222">
        <f>+A246+0.0001</f>
        <v>2.0402999999999998</v>
      </c>
      <c r="B251" s="241" t="s">
        <v>302</v>
      </c>
      <c r="C251" s="242"/>
      <c r="D251" s="243"/>
      <c r="E251" s="243"/>
      <c r="F251" s="243"/>
      <c r="G251" s="243"/>
      <c r="H251" s="72"/>
      <c r="I251" s="68"/>
    </row>
    <row r="252" spans="1:9" x14ac:dyDescent="0.3">
      <c r="A252" s="167">
        <f>+A251+0.000001</f>
        <v>2.0403009999999999</v>
      </c>
      <c r="B252" s="244" t="s">
        <v>680</v>
      </c>
      <c r="C252" s="242" t="s">
        <v>182</v>
      </c>
      <c r="D252" s="243">
        <v>1</v>
      </c>
      <c r="E252" s="243">
        <f>+I235</f>
        <v>1818.71</v>
      </c>
      <c r="F252" s="243"/>
      <c r="G252" s="243"/>
      <c r="H252" s="72">
        <f t="shared" si="67"/>
        <v>1818.71</v>
      </c>
      <c r="I252" s="68">
        <f t="shared" si="63"/>
        <v>1818.71</v>
      </c>
    </row>
    <row r="253" spans="1:9" x14ac:dyDescent="0.3">
      <c r="A253" s="167">
        <f>+A252+0.000001</f>
        <v>2.0403020000000001</v>
      </c>
      <c r="B253" s="244" t="s">
        <v>681</v>
      </c>
      <c r="C253" s="242" t="s">
        <v>173</v>
      </c>
      <c r="D253" s="243">
        <f>ROUNDUP(I231/50,0)</f>
        <v>37</v>
      </c>
      <c r="E253" s="243"/>
      <c r="F253" s="243"/>
      <c r="G253" s="243"/>
      <c r="H253" s="72">
        <f t="shared" si="67"/>
        <v>37</v>
      </c>
      <c r="I253" s="68">
        <f t="shared" ref="I253" si="71">H253</f>
        <v>37</v>
      </c>
    </row>
    <row r="254" spans="1:9" ht="15" thickBot="1" x14ac:dyDescent="0.35">
      <c r="A254" s="316"/>
      <c r="B254" s="317"/>
      <c r="C254" s="318"/>
      <c r="D254" s="319"/>
      <c r="E254" s="319"/>
      <c r="F254" s="319"/>
      <c r="G254" s="319"/>
      <c r="H254" s="319"/>
      <c r="I254" s="320"/>
    </row>
  </sheetData>
  <mergeCells count="2">
    <mergeCell ref="A5:I5"/>
    <mergeCell ref="A1:I1"/>
  </mergeCells>
  <pageMargins left="1.1023622047244095" right="0.70866141732283472" top="0.74803149606299213" bottom="0.74803149606299213" header="0.31496062992125984" footer="0.31496062992125984"/>
  <pageSetup scale="59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6</vt:i4>
      </vt:variant>
    </vt:vector>
  </HeadingPairs>
  <TitlesOfParts>
    <vt:vector size="17" baseType="lpstr">
      <vt:lpstr>MET TUB EXISTENTE</vt:lpstr>
      <vt:lpstr>TUB ANULAR O SELLAR</vt:lpstr>
      <vt:lpstr>BASE DE DATOS</vt:lpstr>
      <vt:lpstr>METRADO DE BUZONES</vt:lpstr>
      <vt:lpstr>METRADO DE ZANJA Y TUBERIA</vt:lpstr>
      <vt:lpstr>CUADRO DE CONEX DOMICILIARIAS</vt:lpstr>
      <vt:lpstr>sustento de empalmes</vt:lpstr>
      <vt:lpstr>MET. DE INTERFERENCIAS</vt:lpstr>
      <vt:lpstr>PLANILLA DE METRADOS</vt:lpstr>
      <vt:lpstr>RESUMEN DE METRADO</vt:lpstr>
      <vt:lpstr>NOMBRE DEL PROYECTO</vt:lpstr>
      <vt:lpstr>'BASE DE DATOS'!Área_de_impresión</vt:lpstr>
      <vt:lpstr>'METRADO DE ZANJA Y TUBERIA'!Área_de_impresión</vt:lpstr>
      <vt:lpstr>'PLANILLA DE METRADOS'!Área_de_impresión</vt:lpstr>
      <vt:lpstr>'MET. DE INTERFERENCIAS'!Títulos_a_imprimir</vt:lpstr>
      <vt:lpstr>'PLANILLA DE METRADOS'!Títulos_a_imprimir</vt:lpstr>
      <vt:lpstr>'RESUMEN DE METRADO'!Títulos_a_imprimir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2017-06-21T15:57:27Z</dcterms:modified>
</cp:coreProperties>
</file>